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871F2957-CCD0-4DE7-B634-C26107CB12B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ENERO " sheetId="1" r:id="rId1"/>
    <sheet name="FEBRERO" sheetId="2" r:id="rId2"/>
    <sheet name="MARZO" sheetId="3" r:id="rId3"/>
    <sheet name="ABRIL" sheetId="4" r:id="rId4"/>
    <sheet name="MAYO " sheetId="5" r:id="rId5"/>
    <sheet name="JUNIO" sheetId="6" r:id="rId6"/>
    <sheet name="JULIO " sheetId="7" r:id="rId7"/>
    <sheet name="AGOSTO " sheetId="8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1" i="12" l="1"/>
  <c r="C181" i="12"/>
  <c r="C174" i="12"/>
  <c r="C176" i="12" s="1"/>
  <c r="W109" i="12"/>
  <c r="V109" i="12"/>
  <c r="R109" i="12"/>
  <c r="Q109" i="12"/>
  <c r="P109" i="12"/>
  <c r="O109" i="12"/>
  <c r="N109" i="12"/>
  <c r="I109" i="12"/>
  <c r="E109" i="12"/>
  <c r="T108" i="12"/>
  <c r="G108" i="12"/>
  <c r="J108" i="12" s="1"/>
  <c r="K108" i="12" s="1"/>
  <c r="U108" i="12" s="1"/>
  <c r="X108" i="12" s="1"/>
  <c r="T107" i="12"/>
  <c r="K107" i="12"/>
  <c r="U107" i="12" s="1"/>
  <c r="X107" i="12" s="1"/>
  <c r="G106" i="12"/>
  <c r="M106" i="12" s="1"/>
  <c r="H105" i="12"/>
  <c r="G105" i="12"/>
  <c r="M105" i="12" s="1"/>
  <c r="T104" i="12"/>
  <c r="G104" i="12"/>
  <c r="J104" i="12" s="1"/>
  <c r="K104" i="12" s="1"/>
  <c r="U104" i="12" s="1"/>
  <c r="X104" i="12" s="1"/>
  <c r="M103" i="12"/>
  <c r="K103" i="12"/>
  <c r="G103" i="12"/>
  <c r="L103" i="12" s="1"/>
  <c r="T103" i="12" s="1"/>
  <c r="K102" i="12"/>
  <c r="T101" i="12"/>
  <c r="G101" i="12"/>
  <c r="K101" i="12" s="1"/>
  <c r="U101" i="12" s="1"/>
  <c r="X101" i="12" s="1"/>
  <c r="M100" i="12"/>
  <c r="L100" i="12"/>
  <c r="T100" i="12" s="1"/>
  <c r="G100" i="12"/>
  <c r="K100" i="12" s="1"/>
  <c r="U99" i="12"/>
  <c r="X99" i="12" s="1"/>
  <c r="T99" i="12"/>
  <c r="K99" i="12"/>
  <c r="H98" i="12"/>
  <c r="G98" i="12"/>
  <c r="M98" i="12" s="1"/>
  <c r="M97" i="12"/>
  <c r="K97" i="12"/>
  <c r="G97" i="12"/>
  <c r="L97" i="12" s="1"/>
  <c r="T97" i="12" s="1"/>
  <c r="U97" i="12" s="1"/>
  <c r="X97" i="12" s="1"/>
  <c r="T96" i="12"/>
  <c r="L96" i="12"/>
  <c r="G96" i="12"/>
  <c r="K96" i="12" s="1"/>
  <c r="U96" i="12" s="1"/>
  <c r="X96" i="12" s="1"/>
  <c r="T95" i="12"/>
  <c r="J95" i="12"/>
  <c r="K95" i="12" s="1"/>
  <c r="U95" i="12" s="1"/>
  <c r="X95" i="12" s="1"/>
  <c r="G95" i="12"/>
  <c r="G94" i="12"/>
  <c r="G93" i="12"/>
  <c r="M92" i="12"/>
  <c r="K92" i="12"/>
  <c r="G92" i="12"/>
  <c r="L92" i="12" s="1"/>
  <c r="T92" i="12" s="1"/>
  <c r="G91" i="12"/>
  <c r="T90" i="12"/>
  <c r="K90" i="12"/>
  <c r="U90" i="12" s="1"/>
  <c r="X90" i="12" s="1"/>
  <c r="T89" i="12"/>
  <c r="G89" i="12"/>
  <c r="J89" i="12" s="1"/>
  <c r="K89" i="12" s="1"/>
  <c r="T88" i="12"/>
  <c r="G88" i="12"/>
  <c r="J88" i="12" s="1"/>
  <c r="K88" i="12" s="1"/>
  <c r="T87" i="12"/>
  <c r="G87" i="12"/>
  <c r="K87" i="12" s="1"/>
  <c r="U87" i="12" s="1"/>
  <c r="X87" i="12" s="1"/>
  <c r="L86" i="12"/>
  <c r="T86" i="12" s="1"/>
  <c r="G86" i="12"/>
  <c r="M86" i="12" s="1"/>
  <c r="T85" i="12"/>
  <c r="G85" i="12"/>
  <c r="K85" i="12" s="1"/>
  <c r="T84" i="12"/>
  <c r="K84" i="12"/>
  <c r="U84" i="12" s="1"/>
  <c r="X84" i="12" s="1"/>
  <c r="G83" i="12"/>
  <c r="K82" i="12"/>
  <c r="G82" i="12"/>
  <c r="L82" i="12" s="1"/>
  <c r="M81" i="12"/>
  <c r="T81" i="12" s="1"/>
  <c r="L81" i="12"/>
  <c r="G81" i="12"/>
  <c r="K81" i="12" s="1"/>
  <c r="T80" i="12"/>
  <c r="U80" i="12" s="1"/>
  <c r="X80" i="12" s="1"/>
  <c r="K80" i="12"/>
  <c r="U79" i="12"/>
  <c r="X79" i="12" s="1"/>
  <c r="T79" i="12"/>
  <c r="J79" i="12"/>
  <c r="K79" i="12" s="1"/>
  <c r="G79" i="12"/>
  <c r="T78" i="12"/>
  <c r="G78" i="12"/>
  <c r="J78" i="12" s="1"/>
  <c r="T77" i="12"/>
  <c r="G77" i="12"/>
  <c r="J77" i="12" s="1"/>
  <c r="K77" i="12" s="1"/>
  <c r="U77" i="12" s="1"/>
  <c r="X77" i="12" s="1"/>
  <c r="M76" i="12"/>
  <c r="T76" i="12" s="1"/>
  <c r="L76" i="12"/>
  <c r="K76" i="12"/>
  <c r="G76" i="12"/>
  <c r="AA75" i="12"/>
  <c r="T75" i="12"/>
  <c r="K75" i="12"/>
  <c r="G75" i="12"/>
  <c r="G74" i="12"/>
  <c r="T73" i="12"/>
  <c r="K73" i="12"/>
  <c r="U73" i="12" s="1"/>
  <c r="X73" i="12" s="1"/>
  <c r="AA72" i="12"/>
  <c r="K72" i="12"/>
  <c r="G72" i="12"/>
  <c r="M72" i="12" s="1"/>
  <c r="M71" i="12"/>
  <c r="T71" i="12" s="1"/>
  <c r="G71" i="12"/>
  <c r="L71" i="12" s="1"/>
  <c r="G70" i="12"/>
  <c r="T69" i="12"/>
  <c r="H69" i="12"/>
  <c r="K69" i="12" s="1"/>
  <c r="U69" i="12" s="1"/>
  <c r="X69" i="12" s="1"/>
  <c r="T68" i="12"/>
  <c r="G68" i="12"/>
  <c r="J68" i="12" s="1"/>
  <c r="K68" i="12" s="1"/>
  <c r="U68" i="12" s="1"/>
  <c r="X68" i="12" s="1"/>
  <c r="T67" i="12"/>
  <c r="G67" i="12"/>
  <c r="K67" i="12" s="1"/>
  <c r="U67" i="12" s="1"/>
  <c r="X67" i="12" s="1"/>
  <c r="T66" i="12"/>
  <c r="G66" i="12"/>
  <c r="K66" i="12" s="1"/>
  <c r="U66" i="12" s="1"/>
  <c r="X66" i="12" s="1"/>
  <c r="T65" i="12"/>
  <c r="G65" i="12"/>
  <c r="K65" i="12" s="1"/>
  <c r="U65" i="12" s="1"/>
  <c r="X65" i="12" s="1"/>
  <c r="T64" i="12"/>
  <c r="G64" i="12"/>
  <c r="J64" i="12" s="1"/>
  <c r="K64" i="12" s="1"/>
  <c r="U64" i="12" s="1"/>
  <c r="X64" i="12" s="1"/>
  <c r="G63" i="12"/>
  <c r="M62" i="12"/>
  <c r="H62" i="12"/>
  <c r="G62" i="12"/>
  <c r="L62" i="12" s="1"/>
  <c r="T61" i="12"/>
  <c r="K61" i="12"/>
  <c r="M60" i="12"/>
  <c r="T60" i="12" s="1"/>
  <c r="G60" i="12"/>
  <c r="L60" i="12" s="1"/>
  <c r="G59" i="12"/>
  <c r="K59" i="12" s="1"/>
  <c r="T58" i="12"/>
  <c r="K58" i="12"/>
  <c r="U58" i="12" s="1"/>
  <c r="X58" i="12" s="1"/>
  <c r="G57" i="12"/>
  <c r="M57" i="12" s="1"/>
  <c r="T56" i="12"/>
  <c r="G56" i="12"/>
  <c r="K56" i="12" s="1"/>
  <c r="U56" i="12" s="1"/>
  <c r="X56" i="12" s="1"/>
  <c r="T55" i="12"/>
  <c r="K55" i="12"/>
  <c r="U55" i="12" s="1"/>
  <c r="X55" i="12" s="1"/>
  <c r="H55" i="12"/>
  <c r="M54" i="12"/>
  <c r="G54" i="12"/>
  <c r="K54" i="12" s="1"/>
  <c r="T53" i="12"/>
  <c r="H53" i="12"/>
  <c r="T52" i="12"/>
  <c r="G52" i="12"/>
  <c r="K52" i="12" s="1"/>
  <c r="U51" i="12"/>
  <c r="X51" i="12" s="1"/>
  <c r="T51" i="12"/>
  <c r="K51" i="12"/>
  <c r="G51" i="12"/>
  <c r="T50" i="12"/>
  <c r="G50" i="12"/>
  <c r="K50" i="12" s="1"/>
  <c r="T49" i="12"/>
  <c r="G49" i="12"/>
  <c r="K49" i="12" s="1"/>
  <c r="T48" i="12"/>
  <c r="G48" i="12"/>
  <c r="K48" i="12" s="1"/>
  <c r="U48" i="12" s="1"/>
  <c r="X48" i="12" s="1"/>
  <c r="T47" i="12"/>
  <c r="K47" i="12"/>
  <c r="U47" i="12" s="1"/>
  <c r="X47" i="12" s="1"/>
  <c r="G47" i="12"/>
  <c r="J47" i="12" s="1"/>
  <c r="M46" i="12"/>
  <c r="K46" i="12"/>
  <c r="G46" i="12"/>
  <c r="L46" i="12" s="1"/>
  <c r="T46" i="12" s="1"/>
  <c r="U46" i="12" s="1"/>
  <c r="X46" i="12" s="1"/>
  <c r="K45" i="12"/>
  <c r="G45" i="12"/>
  <c r="G44" i="12"/>
  <c r="G43" i="12"/>
  <c r="M43" i="12" s="1"/>
  <c r="G42" i="12"/>
  <c r="M41" i="12"/>
  <c r="L41" i="12"/>
  <c r="J41" i="12"/>
  <c r="K41" i="12" s="1"/>
  <c r="G41" i="12"/>
  <c r="M40" i="12"/>
  <c r="G40" i="12"/>
  <c r="K40" i="12" s="1"/>
  <c r="G39" i="12"/>
  <c r="M39" i="12" s="1"/>
  <c r="T38" i="12"/>
  <c r="G38" i="12"/>
  <c r="K38" i="12" s="1"/>
  <c r="T37" i="12"/>
  <c r="K37" i="12"/>
  <c r="U37" i="12" s="1"/>
  <c r="X37" i="12" s="1"/>
  <c r="G37" i="12"/>
  <c r="M36" i="12"/>
  <c r="G36" i="12"/>
  <c r="K36" i="12" s="1"/>
  <c r="M35" i="12"/>
  <c r="L35" i="12"/>
  <c r="K35" i="12"/>
  <c r="G35" i="12"/>
  <c r="L34" i="12"/>
  <c r="G34" i="12"/>
  <c r="K34" i="12" s="1"/>
  <c r="G33" i="12"/>
  <c r="L32" i="12"/>
  <c r="G32" i="12"/>
  <c r="K32" i="12" s="1"/>
  <c r="T31" i="12"/>
  <c r="G31" i="12"/>
  <c r="K31" i="12" s="1"/>
  <c r="T30" i="12"/>
  <c r="G30" i="12"/>
  <c r="K30" i="12" s="1"/>
  <c r="T29" i="12"/>
  <c r="G29" i="12"/>
  <c r="K29" i="12" s="1"/>
  <c r="T28" i="12"/>
  <c r="U28" i="12" s="1"/>
  <c r="X28" i="12" s="1"/>
  <c r="G28" i="12"/>
  <c r="K28" i="12" s="1"/>
  <c r="M27" i="12"/>
  <c r="L27" i="12"/>
  <c r="T27" i="12" s="1"/>
  <c r="G27" i="12"/>
  <c r="K27" i="12" s="1"/>
  <c r="U27" i="12" s="1"/>
  <c r="X27" i="12" s="1"/>
  <c r="G26" i="12"/>
  <c r="M25" i="12"/>
  <c r="G25" i="12"/>
  <c r="M24" i="12"/>
  <c r="G24" i="12"/>
  <c r="K24" i="12" s="1"/>
  <c r="S23" i="12"/>
  <c r="S109" i="12" s="1"/>
  <c r="M23" i="12"/>
  <c r="G23" i="12"/>
  <c r="K23" i="12" s="1"/>
  <c r="T22" i="12"/>
  <c r="G22" i="12"/>
  <c r="K22" i="12" s="1"/>
  <c r="U22" i="12" s="1"/>
  <c r="X22" i="12" s="1"/>
  <c r="L21" i="12"/>
  <c r="G21" i="12"/>
  <c r="K21" i="12" s="1"/>
  <c r="M20" i="12"/>
  <c r="K20" i="12"/>
  <c r="G20" i="12"/>
  <c r="L20" i="12" s="1"/>
  <c r="T20" i="12" s="1"/>
  <c r="U20" i="12" s="1"/>
  <c r="X20" i="12" s="1"/>
  <c r="U19" i="12"/>
  <c r="X19" i="12" s="1"/>
  <c r="T19" i="12"/>
  <c r="K19" i="12"/>
  <c r="G18" i="12"/>
  <c r="M18" i="12" s="1"/>
  <c r="U17" i="12"/>
  <c r="X17" i="12" s="1"/>
  <c r="T17" i="12"/>
  <c r="K17" i="12"/>
  <c r="G17" i="12"/>
  <c r="L16" i="12"/>
  <c r="T16" i="12" s="1"/>
  <c r="G16" i="12"/>
  <c r="M16" i="12" s="1"/>
  <c r="T15" i="12"/>
  <c r="K15" i="12"/>
  <c r="U15" i="12" s="1"/>
  <c r="X15" i="12" s="1"/>
  <c r="G15" i="12"/>
  <c r="T14" i="12"/>
  <c r="G14" i="12"/>
  <c r="K14" i="12" s="1"/>
  <c r="U14" i="12" s="1"/>
  <c r="X14" i="12" s="1"/>
  <c r="G13" i="12"/>
  <c r="M13" i="12" s="1"/>
  <c r="T12" i="12"/>
  <c r="G12" i="12"/>
  <c r="K12" i="12" s="1"/>
  <c r="U12" i="12" s="1"/>
  <c r="X12" i="12" s="1"/>
  <c r="L11" i="12"/>
  <c r="G11" i="12"/>
  <c r="K11" i="12" s="1"/>
  <c r="M10" i="12"/>
  <c r="T10" i="12" s="1"/>
  <c r="G10" i="12"/>
  <c r="K10" i="12" s="1"/>
  <c r="M9" i="12"/>
  <c r="L9" i="12"/>
  <c r="G9" i="12"/>
  <c r="K9" i="12" s="1"/>
  <c r="G8" i="12"/>
  <c r="M8" i="12" s="1"/>
  <c r="G7" i="12"/>
  <c r="K7" i="12" s="1"/>
  <c r="M7" i="12" s="1"/>
  <c r="G6" i="12"/>
  <c r="M6" i="12" s="1"/>
  <c r="M5" i="12"/>
  <c r="L5" i="12"/>
  <c r="G5" i="12"/>
  <c r="M4" i="12"/>
  <c r="L4" i="12"/>
  <c r="T4" i="12" s="1"/>
  <c r="K4" i="12"/>
  <c r="U103" i="12" l="1"/>
  <c r="X103" i="12" s="1"/>
  <c r="K8" i="12"/>
  <c r="T9" i="12"/>
  <c r="M11" i="12"/>
  <c r="T11" i="12" s="1"/>
  <c r="U11" i="12" s="1"/>
  <c r="X11" i="12" s="1"/>
  <c r="K13" i="12"/>
  <c r="U31" i="12"/>
  <c r="X31" i="12" s="1"/>
  <c r="M32" i="12"/>
  <c r="T32" i="12" s="1"/>
  <c r="U32" i="12" s="1"/>
  <c r="X32" i="12" s="1"/>
  <c r="K39" i="12"/>
  <c r="T41" i="12"/>
  <c r="U41" i="12" s="1"/>
  <c r="X41" i="12" s="1"/>
  <c r="K43" i="12"/>
  <c r="U49" i="12"/>
  <c r="X49" i="12" s="1"/>
  <c r="U52" i="12"/>
  <c r="X52" i="12" s="1"/>
  <c r="K57" i="12"/>
  <c r="U57" i="12" s="1"/>
  <c r="X57" i="12" s="1"/>
  <c r="M59" i="12"/>
  <c r="K62" i="12"/>
  <c r="L72" i="12"/>
  <c r="T72" i="12" s="1"/>
  <c r="M82" i="12"/>
  <c r="T82" i="12" s="1"/>
  <c r="U82" i="12" s="1"/>
  <c r="X82" i="12" s="1"/>
  <c r="U89" i="12"/>
  <c r="X89" i="12" s="1"/>
  <c r="K106" i="12"/>
  <c r="L8" i="12"/>
  <c r="T8" i="12" s="1"/>
  <c r="U8" i="12" s="1"/>
  <c r="X8" i="12" s="1"/>
  <c r="L13" i="12"/>
  <c r="L39" i="12"/>
  <c r="T39" i="12" s="1"/>
  <c r="L43" i="12"/>
  <c r="L57" i="12"/>
  <c r="T57" i="12" s="1"/>
  <c r="L106" i="12"/>
  <c r="U72" i="12"/>
  <c r="X72" i="12" s="1"/>
  <c r="U76" i="12"/>
  <c r="X76" i="12" s="1"/>
  <c r="U85" i="12"/>
  <c r="X85" i="12" s="1"/>
  <c r="U4" i="12"/>
  <c r="T5" i="12"/>
  <c r="U10" i="12"/>
  <c r="X10" i="12" s="1"/>
  <c r="K16" i="12"/>
  <c r="U16" i="12" s="1"/>
  <c r="X16" i="12" s="1"/>
  <c r="M21" i="12"/>
  <c r="T21" i="12" s="1"/>
  <c r="U21" i="12" s="1"/>
  <c r="X21" i="12" s="1"/>
  <c r="L23" i="12"/>
  <c r="T23" i="12" s="1"/>
  <c r="U23" i="12" s="1"/>
  <c r="X23" i="12" s="1"/>
  <c r="L24" i="12"/>
  <c r="U30" i="12"/>
  <c r="X30" i="12" s="1"/>
  <c r="T35" i="12"/>
  <c r="U35" i="12" s="1"/>
  <c r="X35" i="12" s="1"/>
  <c r="U50" i="12"/>
  <c r="X50" i="12" s="1"/>
  <c r="K60" i="12"/>
  <c r="U60" i="12" s="1"/>
  <c r="X60" i="12" s="1"/>
  <c r="T62" i="12"/>
  <c r="U62" i="12" s="1"/>
  <c r="X62" i="12" s="1"/>
  <c r="K78" i="12"/>
  <c r="U78" i="12" s="1"/>
  <c r="X78" i="12" s="1"/>
  <c r="U88" i="12"/>
  <c r="X88" i="12" s="1"/>
  <c r="K105" i="12"/>
  <c r="U105" i="12" s="1"/>
  <c r="X105" i="12" s="1"/>
  <c r="X4" i="12"/>
  <c r="M26" i="12"/>
  <c r="L26" i="12"/>
  <c r="T26" i="12" s="1"/>
  <c r="L33" i="12"/>
  <c r="T33" i="12" s="1"/>
  <c r="M33" i="12"/>
  <c r="K33" i="12"/>
  <c r="M45" i="12"/>
  <c r="L45" i="12"/>
  <c r="T45" i="12" s="1"/>
  <c r="U45" i="12" s="1"/>
  <c r="X45" i="12" s="1"/>
  <c r="L102" i="12"/>
  <c r="T102" i="12" s="1"/>
  <c r="U102" i="12" s="1"/>
  <c r="X102" i="12" s="1"/>
  <c r="G109" i="12"/>
  <c r="K6" i="12"/>
  <c r="U6" i="12" s="1"/>
  <c r="X6" i="12" s="1"/>
  <c r="L7" i="12"/>
  <c r="T7" i="12" s="1"/>
  <c r="K18" i="12"/>
  <c r="L25" i="12"/>
  <c r="T25" i="12" s="1"/>
  <c r="K25" i="12"/>
  <c r="K26" i="12"/>
  <c r="K44" i="12"/>
  <c r="M44" i="12"/>
  <c r="K70" i="12"/>
  <c r="M70" i="12"/>
  <c r="L70" i="12"/>
  <c r="M94" i="12"/>
  <c r="L94" i="12"/>
  <c r="T94" i="12" s="1"/>
  <c r="K94" i="12"/>
  <c r="K5" i="12"/>
  <c r="L6" i="12"/>
  <c r="T6" i="12" s="1"/>
  <c r="T13" i="12"/>
  <c r="U13" i="12" s="1"/>
  <c r="X13" i="12" s="1"/>
  <c r="L18" i="12"/>
  <c r="T18" i="12" s="1"/>
  <c r="T24" i="12"/>
  <c r="U24" i="12" s="1"/>
  <c r="X24" i="12" s="1"/>
  <c r="U29" i="12"/>
  <c r="X29" i="12" s="1"/>
  <c r="U38" i="12"/>
  <c r="X38" i="12" s="1"/>
  <c r="L42" i="12"/>
  <c r="M42" i="12"/>
  <c r="K42" i="12"/>
  <c r="L44" i="12"/>
  <c r="M63" i="12"/>
  <c r="L63" i="12"/>
  <c r="K63" i="12"/>
  <c r="M83" i="12"/>
  <c r="L83" i="12"/>
  <c r="L93" i="12"/>
  <c r="M93" i="12"/>
  <c r="L98" i="12"/>
  <c r="T98" i="12" s="1"/>
  <c r="K98" i="12"/>
  <c r="J109" i="12"/>
  <c r="U7" i="12"/>
  <c r="X7" i="12" s="1"/>
  <c r="U9" i="12"/>
  <c r="X9" i="12" s="1"/>
  <c r="M34" i="12"/>
  <c r="T34" i="12" s="1"/>
  <c r="U34" i="12" s="1"/>
  <c r="X34" i="12" s="1"/>
  <c r="T43" i="12"/>
  <c r="U43" i="12" s="1"/>
  <c r="X43" i="12" s="1"/>
  <c r="H109" i="12"/>
  <c r="K53" i="12"/>
  <c r="U53" i="12" s="1"/>
  <c r="X53" i="12" s="1"/>
  <c r="U61" i="12"/>
  <c r="X61" i="12" s="1"/>
  <c r="M74" i="12"/>
  <c r="L74" i="12"/>
  <c r="K74" i="12"/>
  <c r="U75" i="12"/>
  <c r="X75" i="12" s="1"/>
  <c r="K83" i="12"/>
  <c r="M91" i="12"/>
  <c r="L91" i="12"/>
  <c r="T91" i="12" s="1"/>
  <c r="K91" i="12"/>
  <c r="U92" i="12"/>
  <c r="K93" i="12"/>
  <c r="U36" i="12"/>
  <c r="X36" i="12" s="1"/>
  <c r="U81" i="12"/>
  <c r="X81" i="12" s="1"/>
  <c r="L36" i="12"/>
  <c r="T36" i="12" s="1"/>
  <c r="L40" i="12"/>
  <c r="T40" i="12" s="1"/>
  <c r="U40" i="12" s="1"/>
  <c r="X40" i="12" s="1"/>
  <c r="L54" i="12"/>
  <c r="T54" i="12" s="1"/>
  <c r="U54" i="12" s="1"/>
  <c r="X54" i="12" s="1"/>
  <c r="L59" i="12"/>
  <c r="T59" i="12" s="1"/>
  <c r="U59" i="12" s="1"/>
  <c r="X59" i="12" s="1"/>
  <c r="K71" i="12"/>
  <c r="U71" i="12" s="1"/>
  <c r="X71" i="12" s="1"/>
  <c r="K86" i="12"/>
  <c r="U86" i="12" s="1"/>
  <c r="X86" i="12" s="1"/>
  <c r="U100" i="12"/>
  <c r="X100" i="12" s="1"/>
  <c r="T106" i="12"/>
  <c r="U106" i="12" s="1"/>
  <c r="X106" i="12" s="1"/>
  <c r="L105" i="12"/>
  <c r="T105" i="12" s="1"/>
  <c r="U39" i="12" l="1"/>
  <c r="X39" i="12" s="1"/>
  <c r="T74" i="12"/>
  <c r="U74" i="12" s="1"/>
  <c r="X74" i="12" s="1"/>
  <c r="U98" i="12"/>
  <c r="X98" i="12" s="1"/>
  <c r="T83" i="12"/>
  <c r="T42" i="12"/>
  <c r="T70" i="12"/>
  <c r="U94" i="12"/>
  <c r="X94" i="12" s="1"/>
  <c r="K109" i="12"/>
  <c r="U5" i="12"/>
  <c r="L109" i="12"/>
  <c r="T44" i="12"/>
  <c r="U83" i="12"/>
  <c r="X83" i="12" s="1"/>
  <c r="M109" i="12"/>
  <c r="U42" i="12"/>
  <c r="U70" i="12"/>
  <c r="X70" i="12" s="1"/>
  <c r="U26" i="12"/>
  <c r="X26" i="12" s="1"/>
  <c r="U18" i="12"/>
  <c r="X18" i="12" s="1"/>
  <c r="U33" i="12"/>
  <c r="X33" i="12" s="1"/>
  <c r="U91" i="12"/>
  <c r="X91" i="12" s="1"/>
  <c r="T93" i="12"/>
  <c r="U93" i="12" s="1"/>
  <c r="X93" i="12" s="1"/>
  <c r="T63" i="12"/>
  <c r="U63" i="12" s="1"/>
  <c r="U25" i="12"/>
  <c r="X25" i="12" s="1"/>
  <c r="T109" i="12" l="1"/>
  <c r="X5" i="12"/>
  <c r="X109" i="12" s="1"/>
  <c r="U44" i="12"/>
  <c r="U109" i="12" s="1"/>
  <c r="C200" i="11" l="1"/>
  <c r="C180" i="11"/>
  <c r="C173" i="11"/>
  <c r="C175" i="11" s="1"/>
  <c r="W108" i="11"/>
  <c r="V108" i="11"/>
  <c r="R108" i="11"/>
  <c r="Q108" i="11"/>
  <c r="P108" i="11"/>
  <c r="O108" i="11"/>
  <c r="N108" i="11"/>
  <c r="I108" i="11"/>
  <c r="E108" i="11"/>
  <c r="T107" i="11"/>
  <c r="G107" i="11"/>
  <c r="J107" i="11" s="1"/>
  <c r="K107" i="11" s="1"/>
  <c r="U107" i="11" s="1"/>
  <c r="X107" i="11" s="1"/>
  <c r="K106" i="11"/>
  <c r="G106" i="11"/>
  <c r="M106" i="11" s="1"/>
  <c r="G105" i="11"/>
  <c r="M105" i="11" s="1"/>
  <c r="H104" i="11"/>
  <c r="G104" i="11"/>
  <c r="L104" i="11" s="1"/>
  <c r="T103" i="11"/>
  <c r="G103" i="11"/>
  <c r="J103" i="11" s="1"/>
  <c r="K103" i="11" s="1"/>
  <c r="G102" i="11"/>
  <c r="M102" i="11" s="1"/>
  <c r="G101" i="11"/>
  <c r="M101" i="11" s="1"/>
  <c r="T100" i="11"/>
  <c r="G100" i="11"/>
  <c r="K100" i="11" s="1"/>
  <c r="U100" i="11" s="1"/>
  <c r="X100" i="11" s="1"/>
  <c r="G99" i="11"/>
  <c r="M99" i="11" s="1"/>
  <c r="G98" i="11"/>
  <c r="L98" i="11" s="1"/>
  <c r="L97" i="11"/>
  <c r="H97" i="11"/>
  <c r="G97" i="11"/>
  <c r="K97" i="11" s="1"/>
  <c r="L96" i="11"/>
  <c r="H96" i="11"/>
  <c r="G96" i="11"/>
  <c r="L95" i="11"/>
  <c r="T95" i="11" s="1"/>
  <c r="G95" i="11"/>
  <c r="K95" i="11" s="1"/>
  <c r="T94" i="11"/>
  <c r="G94" i="11"/>
  <c r="J94" i="11" s="1"/>
  <c r="K94" i="11" s="1"/>
  <c r="U94" i="11" s="1"/>
  <c r="X94" i="11" s="1"/>
  <c r="M93" i="11"/>
  <c r="L93" i="11"/>
  <c r="T93" i="11" s="1"/>
  <c r="G93" i="11"/>
  <c r="K93" i="11" s="1"/>
  <c r="G92" i="11"/>
  <c r="M92" i="11" s="1"/>
  <c r="G91" i="11"/>
  <c r="M91" i="11" s="1"/>
  <c r="G90" i="11"/>
  <c r="L90" i="11" s="1"/>
  <c r="T89" i="11"/>
  <c r="G89" i="11"/>
  <c r="J89" i="11" s="1"/>
  <c r="K89" i="11" s="1"/>
  <c r="U89" i="11" s="1"/>
  <c r="X89" i="11" s="1"/>
  <c r="T88" i="11"/>
  <c r="G88" i="11"/>
  <c r="J88" i="11" s="1"/>
  <c r="K88" i="11" s="1"/>
  <c r="U88" i="11" s="1"/>
  <c r="X88" i="11" s="1"/>
  <c r="T87" i="11"/>
  <c r="G87" i="11"/>
  <c r="K87" i="11" s="1"/>
  <c r="U87" i="11" s="1"/>
  <c r="X87" i="11" s="1"/>
  <c r="G86" i="11"/>
  <c r="L86" i="11" s="1"/>
  <c r="T85" i="11"/>
  <c r="G85" i="11"/>
  <c r="K85" i="11" s="1"/>
  <c r="U85" i="11" s="1"/>
  <c r="X85" i="11" s="1"/>
  <c r="G84" i="11"/>
  <c r="L84" i="11" s="1"/>
  <c r="T83" i="11"/>
  <c r="G83" i="11"/>
  <c r="K83" i="11" s="1"/>
  <c r="U83" i="11" s="1"/>
  <c r="X83" i="11" s="1"/>
  <c r="G82" i="11"/>
  <c r="L82" i="11" s="1"/>
  <c r="G81" i="11"/>
  <c r="K81" i="11" s="1"/>
  <c r="M80" i="11"/>
  <c r="L80" i="11"/>
  <c r="G80" i="11"/>
  <c r="K80" i="11" s="1"/>
  <c r="G79" i="11"/>
  <c r="M79" i="11" s="1"/>
  <c r="T78" i="11"/>
  <c r="G78" i="11"/>
  <c r="J78" i="11" s="1"/>
  <c r="K78" i="11" s="1"/>
  <c r="U78" i="11" s="1"/>
  <c r="X78" i="11" s="1"/>
  <c r="T77" i="11"/>
  <c r="G77" i="11"/>
  <c r="J77" i="11" s="1"/>
  <c r="K77" i="11" s="1"/>
  <c r="U77" i="11" s="1"/>
  <c r="X77" i="11" s="1"/>
  <c r="T76" i="11"/>
  <c r="G76" i="11"/>
  <c r="J76" i="11" s="1"/>
  <c r="K76" i="11" s="1"/>
  <c r="U76" i="11" s="1"/>
  <c r="X76" i="11" s="1"/>
  <c r="M75" i="11"/>
  <c r="L75" i="11"/>
  <c r="T75" i="11" s="1"/>
  <c r="G75" i="11"/>
  <c r="K75" i="11" s="1"/>
  <c r="AA74" i="11"/>
  <c r="T74" i="11"/>
  <c r="G74" i="11"/>
  <c r="K74" i="11" s="1"/>
  <c r="G73" i="11"/>
  <c r="K73" i="11" s="1"/>
  <c r="G72" i="11"/>
  <c r="M72" i="11" s="1"/>
  <c r="AA71" i="11"/>
  <c r="M71" i="11"/>
  <c r="L71" i="11"/>
  <c r="K71" i="11"/>
  <c r="G71" i="11"/>
  <c r="G70" i="11"/>
  <c r="M70" i="11" s="1"/>
  <c r="G69" i="11"/>
  <c r="L69" i="11" s="1"/>
  <c r="H68" i="11"/>
  <c r="G68" i="11"/>
  <c r="T67" i="11"/>
  <c r="G67" i="11"/>
  <c r="J67" i="11" s="1"/>
  <c r="K67" i="11" s="1"/>
  <c r="U67" i="11" s="1"/>
  <c r="X67" i="11" s="1"/>
  <c r="T66" i="11"/>
  <c r="G66" i="11"/>
  <c r="K66" i="11" s="1"/>
  <c r="U66" i="11" s="1"/>
  <c r="X66" i="11" s="1"/>
  <c r="T65" i="11"/>
  <c r="G65" i="11"/>
  <c r="K65" i="11" s="1"/>
  <c r="U65" i="11" s="1"/>
  <c r="X65" i="11" s="1"/>
  <c r="T64" i="11"/>
  <c r="G64" i="11"/>
  <c r="K64" i="11" s="1"/>
  <c r="U64" i="11" s="1"/>
  <c r="X64" i="11" s="1"/>
  <c r="T63" i="11"/>
  <c r="G63" i="11"/>
  <c r="J63" i="11" s="1"/>
  <c r="K63" i="11" s="1"/>
  <c r="U63" i="11" s="1"/>
  <c r="X63" i="11" s="1"/>
  <c r="G62" i="11"/>
  <c r="M62" i="11" s="1"/>
  <c r="H61" i="11"/>
  <c r="G61" i="11"/>
  <c r="L61" i="11" s="1"/>
  <c r="L60" i="11"/>
  <c r="T60" i="11" s="1"/>
  <c r="G60" i="11"/>
  <c r="K60" i="11" s="1"/>
  <c r="M59" i="11"/>
  <c r="K59" i="11"/>
  <c r="G59" i="11"/>
  <c r="L59" i="11" s="1"/>
  <c r="T59" i="11" s="1"/>
  <c r="G58" i="11"/>
  <c r="M58" i="11" s="1"/>
  <c r="G57" i="11"/>
  <c r="L57" i="11" s="1"/>
  <c r="M56" i="11"/>
  <c r="L56" i="11"/>
  <c r="T56" i="11" s="1"/>
  <c r="G56" i="11"/>
  <c r="K56" i="11" s="1"/>
  <c r="T55" i="11"/>
  <c r="G55" i="11"/>
  <c r="K55" i="11" s="1"/>
  <c r="L54" i="11"/>
  <c r="H54" i="11"/>
  <c r="G54" i="11"/>
  <c r="K54" i="11" s="1"/>
  <c r="M53" i="11"/>
  <c r="L53" i="11"/>
  <c r="T53" i="11" s="1"/>
  <c r="G53" i="11"/>
  <c r="K53" i="11" s="1"/>
  <c r="H52" i="11"/>
  <c r="G52" i="11"/>
  <c r="M52" i="11" s="1"/>
  <c r="T51" i="11"/>
  <c r="G51" i="11"/>
  <c r="K51" i="11" s="1"/>
  <c r="U51" i="11" s="1"/>
  <c r="X51" i="11" s="1"/>
  <c r="T50" i="11"/>
  <c r="G50" i="11"/>
  <c r="K50" i="11" s="1"/>
  <c r="U50" i="11" s="1"/>
  <c r="X50" i="11" s="1"/>
  <c r="T49" i="11"/>
  <c r="K49" i="11"/>
  <c r="U49" i="11" s="1"/>
  <c r="X49" i="11" s="1"/>
  <c r="G49" i="11"/>
  <c r="T48" i="11"/>
  <c r="G48" i="11"/>
  <c r="K48" i="11" s="1"/>
  <c r="T47" i="11"/>
  <c r="K47" i="11"/>
  <c r="U47" i="11" s="1"/>
  <c r="X47" i="11" s="1"/>
  <c r="G47" i="11"/>
  <c r="T46" i="11"/>
  <c r="J46" i="11"/>
  <c r="K46" i="11" s="1"/>
  <c r="U46" i="11" s="1"/>
  <c r="X46" i="11" s="1"/>
  <c r="G46" i="11"/>
  <c r="G45" i="11"/>
  <c r="G44" i="11"/>
  <c r="L44" i="11" s="1"/>
  <c r="K43" i="11"/>
  <c r="G43" i="11"/>
  <c r="L43" i="11" s="1"/>
  <c r="T42" i="11"/>
  <c r="M42" i="11"/>
  <c r="L42" i="11"/>
  <c r="G42" i="11"/>
  <c r="J42" i="11" s="1"/>
  <c r="G41" i="11"/>
  <c r="K41" i="11" s="1"/>
  <c r="T40" i="11"/>
  <c r="G40" i="11"/>
  <c r="K40" i="11" s="1"/>
  <c r="U40" i="11" s="1"/>
  <c r="X40" i="11" s="1"/>
  <c r="T39" i="11"/>
  <c r="G39" i="11"/>
  <c r="K39" i="11" s="1"/>
  <c r="U39" i="11" s="1"/>
  <c r="X39" i="11" s="1"/>
  <c r="T38" i="11"/>
  <c r="G38" i="11"/>
  <c r="K38" i="11" s="1"/>
  <c r="U38" i="11" s="1"/>
  <c r="X38" i="11" s="1"/>
  <c r="G37" i="11"/>
  <c r="M37" i="11" s="1"/>
  <c r="M36" i="11"/>
  <c r="L36" i="11"/>
  <c r="G36" i="11"/>
  <c r="K36" i="11" s="1"/>
  <c r="T35" i="11"/>
  <c r="G35" i="11"/>
  <c r="K35" i="11" s="1"/>
  <c r="U35" i="11" s="1"/>
  <c r="X35" i="11" s="1"/>
  <c r="M34" i="11"/>
  <c r="K34" i="11"/>
  <c r="G34" i="11"/>
  <c r="L34" i="11" s="1"/>
  <c r="G33" i="11"/>
  <c r="K33" i="11" s="1"/>
  <c r="T32" i="11"/>
  <c r="K32" i="11"/>
  <c r="U32" i="11" s="1"/>
  <c r="X32" i="11" s="1"/>
  <c r="G32" i="11"/>
  <c r="T31" i="11"/>
  <c r="G31" i="11"/>
  <c r="K31" i="11" s="1"/>
  <c r="U31" i="11" s="1"/>
  <c r="X31" i="11" s="1"/>
  <c r="T30" i="11"/>
  <c r="G30" i="11"/>
  <c r="K30" i="11" s="1"/>
  <c r="U30" i="11" s="1"/>
  <c r="X30" i="11" s="1"/>
  <c r="T29" i="11"/>
  <c r="G29" i="11"/>
  <c r="K29" i="11" s="1"/>
  <c r="M28" i="11"/>
  <c r="L28" i="11"/>
  <c r="T28" i="11" s="1"/>
  <c r="K28" i="11"/>
  <c r="G28" i="11"/>
  <c r="G27" i="11"/>
  <c r="M27" i="11" s="1"/>
  <c r="M26" i="11"/>
  <c r="G26" i="11"/>
  <c r="L26" i="11" s="1"/>
  <c r="G25" i="11"/>
  <c r="K25" i="11" s="1"/>
  <c r="S24" i="11"/>
  <c r="S108" i="11" s="1"/>
  <c r="G24" i="11"/>
  <c r="K24" i="11" s="1"/>
  <c r="T23" i="11"/>
  <c r="G23" i="11"/>
  <c r="K23" i="11" s="1"/>
  <c r="U23" i="11" s="1"/>
  <c r="X23" i="11" s="1"/>
  <c r="G22" i="11"/>
  <c r="K22" i="11" s="1"/>
  <c r="M21" i="11"/>
  <c r="L21" i="11"/>
  <c r="T21" i="11" s="1"/>
  <c r="K21" i="11"/>
  <c r="G21" i="11"/>
  <c r="T20" i="11"/>
  <c r="G20" i="11"/>
  <c r="K20" i="11" s="1"/>
  <c r="U20" i="11" s="1"/>
  <c r="X20" i="11" s="1"/>
  <c r="M19" i="11"/>
  <c r="G19" i="11"/>
  <c r="L19" i="11" s="1"/>
  <c r="G18" i="11"/>
  <c r="M18" i="11" s="1"/>
  <c r="T17" i="11"/>
  <c r="G17" i="11"/>
  <c r="K17" i="11" s="1"/>
  <c r="U17" i="11" s="1"/>
  <c r="X17" i="11" s="1"/>
  <c r="T16" i="11"/>
  <c r="G16" i="11"/>
  <c r="K16" i="11" s="1"/>
  <c r="U16" i="11" s="1"/>
  <c r="X16" i="11" s="1"/>
  <c r="T15" i="11"/>
  <c r="K15" i="11"/>
  <c r="U15" i="11" s="1"/>
  <c r="X15" i="11" s="1"/>
  <c r="G15" i="11"/>
  <c r="G14" i="11"/>
  <c r="K14" i="11" s="1"/>
  <c r="T13" i="11"/>
  <c r="K13" i="11"/>
  <c r="U13" i="11" s="1"/>
  <c r="X13" i="11" s="1"/>
  <c r="G13" i="11"/>
  <c r="T12" i="11"/>
  <c r="G12" i="11"/>
  <c r="K12" i="11" s="1"/>
  <c r="U12" i="11" s="1"/>
  <c r="X12" i="11" s="1"/>
  <c r="M11" i="11"/>
  <c r="T11" i="11" s="1"/>
  <c r="G11" i="11"/>
  <c r="K11" i="11" s="1"/>
  <c r="M10" i="11"/>
  <c r="L10" i="11"/>
  <c r="T10" i="11" s="1"/>
  <c r="K10" i="11"/>
  <c r="G10" i="11"/>
  <c r="G9" i="11"/>
  <c r="M9" i="11" s="1"/>
  <c r="M8" i="11"/>
  <c r="G8" i="11"/>
  <c r="L8" i="11" s="1"/>
  <c r="G7" i="11"/>
  <c r="K7" i="11" s="1"/>
  <c r="M6" i="11"/>
  <c r="G6" i="11"/>
  <c r="L6" i="11" s="1"/>
  <c r="M5" i="11"/>
  <c r="L5" i="11"/>
  <c r="G5" i="11"/>
  <c r="M4" i="11"/>
  <c r="L4" i="11"/>
  <c r="T4" i="11" s="1"/>
  <c r="K4" i="11"/>
  <c r="J108" i="11" l="1"/>
  <c r="U80" i="11"/>
  <c r="X80" i="11" s="1"/>
  <c r="L37" i="11"/>
  <c r="T37" i="11" s="1"/>
  <c r="M44" i="11"/>
  <c r="H108" i="11"/>
  <c r="U55" i="11"/>
  <c r="X55" i="11" s="1"/>
  <c r="K68" i="11"/>
  <c r="M69" i="11"/>
  <c r="T71" i="11"/>
  <c r="K72" i="11"/>
  <c r="U72" i="11" s="1"/>
  <c r="X72" i="11" s="1"/>
  <c r="L73" i="11"/>
  <c r="T73" i="11" s="1"/>
  <c r="U73" i="11" s="1"/>
  <c r="X73" i="11" s="1"/>
  <c r="M82" i="11"/>
  <c r="M84" i="11"/>
  <c r="T84" i="11" s="1"/>
  <c r="M86" i="11"/>
  <c r="T86" i="11" s="1"/>
  <c r="K92" i="11"/>
  <c r="K102" i="11"/>
  <c r="U71" i="11"/>
  <c r="X71" i="11" s="1"/>
  <c r="T82" i="11"/>
  <c r="T8" i="11"/>
  <c r="U8" i="11" s="1"/>
  <c r="X8" i="11" s="1"/>
  <c r="L27" i="11"/>
  <c r="T27" i="11" s="1"/>
  <c r="K52" i="11"/>
  <c r="T57" i="11"/>
  <c r="U59" i="11"/>
  <c r="X59" i="11" s="1"/>
  <c r="L72" i="11"/>
  <c r="T72" i="11" s="1"/>
  <c r="M73" i="11"/>
  <c r="L81" i="11"/>
  <c r="T81" i="11" s="1"/>
  <c r="M90" i="11"/>
  <c r="T90" i="11" s="1"/>
  <c r="L92" i="11"/>
  <c r="T92" i="11" s="1"/>
  <c r="M98" i="11"/>
  <c r="T98" i="11" s="1"/>
  <c r="U103" i="11"/>
  <c r="X103" i="11" s="1"/>
  <c r="T69" i="11"/>
  <c r="L18" i="11"/>
  <c r="T18" i="11" s="1"/>
  <c r="T6" i="11"/>
  <c r="L9" i="11"/>
  <c r="T9" i="11" s="1"/>
  <c r="T19" i="11"/>
  <c r="T26" i="11"/>
  <c r="K6" i="11"/>
  <c r="U6" i="11" s="1"/>
  <c r="X6" i="11" s="1"/>
  <c r="K8" i="11"/>
  <c r="U11" i="11"/>
  <c r="X11" i="11" s="1"/>
  <c r="K19" i="11"/>
  <c r="K26" i="11"/>
  <c r="U29" i="11"/>
  <c r="X29" i="11" s="1"/>
  <c r="T34" i="11"/>
  <c r="T36" i="11"/>
  <c r="U36" i="11" s="1"/>
  <c r="X36" i="11" s="1"/>
  <c r="M43" i="11"/>
  <c r="T43" i="11" s="1"/>
  <c r="U43" i="11" s="1"/>
  <c r="X43" i="11" s="1"/>
  <c r="U48" i="11"/>
  <c r="X48" i="11" s="1"/>
  <c r="M57" i="11"/>
  <c r="L68" i="11"/>
  <c r="U74" i="11"/>
  <c r="X74" i="11" s="1"/>
  <c r="T80" i="11"/>
  <c r="M81" i="11"/>
  <c r="K96" i="11"/>
  <c r="U4" i="11"/>
  <c r="U10" i="11"/>
  <c r="X10" i="11" s="1"/>
  <c r="U21" i="11"/>
  <c r="X21" i="11" s="1"/>
  <c r="U28" i="11"/>
  <c r="X28" i="11" s="1"/>
  <c r="U34" i="11"/>
  <c r="X34" i="11" s="1"/>
  <c r="U19" i="11"/>
  <c r="X19" i="11" s="1"/>
  <c r="U26" i="11"/>
  <c r="X26" i="11" s="1"/>
  <c r="T5" i="11"/>
  <c r="L7" i="11"/>
  <c r="L14" i="11"/>
  <c r="L24" i="11"/>
  <c r="L25" i="11"/>
  <c r="L33" i="11"/>
  <c r="L41" i="11"/>
  <c r="T44" i="11"/>
  <c r="M45" i="11"/>
  <c r="K45" i="11"/>
  <c r="G108" i="11"/>
  <c r="L22" i="11"/>
  <c r="K5" i="11"/>
  <c r="M7" i="11"/>
  <c r="K9" i="11"/>
  <c r="U9" i="11" s="1"/>
  <c r="X9" i="11" s="1"/>
  <c r="M14" i="11"/>
  <c r="K18" i="11"/>
  <c r="M22" i="11"/>
  <c r="M24" i="11"/>
  <c r="M25" i="11"/>
  <c r="K27" i="11"/>
  <c r="M33" i="11"/>
  <c r="K37" i="11"/>
  <c r="U37" i="11" s="1"/>
  <c r="X37" i="11" s="1"/>
  <c r="M41" i="11"/>
  <c r="K44" i="11"/>
  <c r="U44" i="11" s="1"/>
  <c r="X44" i="11" s="1"/>
  <c r="L45" i="11"/>
  <c r="T45" i="11" s="1"/>
  <c r="U60" i="11"/>
  <c r="X60" i="11" s="1"/>
  <c r="U81" i="11"/>
  <c r="X81" i="11" s="1"/>
  <c r="U92" i="11"/>
  <c r="X92" i="11" s="1"/>
  <c r="U95" i="11"/>
  <c r="X95" i="11" s="1"/>
  <c r="K42" i="11"/>
  <c r="U42" i="11" s="1"/>
  <c r="X42" i="11" s="1"/>
  <c r="U53" i="11"/>
  <c r="X53" i="11" s="1"/>
  <c r="U56" i="11"/>
  <c r="X56" i="11" s="1"/>
  <c r="T68" i="11"/>
  <c r="U68" i="11" s="1"/>
  <c r="X68" i="11" s="1"/>
  <c r="U75" i="11"/>
  <c r="X75" i="11" s="1"/>
  <c r="U93" i="11"/>
  <c r="X93" i="11" s="1"/>
  <c r="M61" i="11"/>
  <c r="T61" i="11" s="1"/>
  <c r="M104" i="11"/>
  <c r="T104" i="11" s="1"/>
  <c r="L52" i="11"/>
  <c r="T52" i="11" s="1"/>
  <c r="M54" i="11"/>
  <c r="T54" i="11" s="1"/>
  <c r="U54" i="11" s="1"/>
  <c r="X54" i="11" s="1"/>
  <c r="K58" i="11"/>
  <c r="U58" i="11" s="1"/>
  <c r="X58" i="11" s="1"/>
  <c r="K62" i="11"/>
  <c r="M68" i="11"/>
  <c r="K70" i="11"/>
  <c r="K79" i="11"/>
  <c r="K91" i="11"/>
  <c r="M96" i="11"/>
  <c r="T96" i="11" s="1"/>
  <c r="M97" i="11"/>
  <c r="T97" i="11" s="1"/>
  <c r="U97" i="11" s="1"/>
  <c r="X97" i="11" s="1"/>
  <c r="K99" i="11"/>
  <c r="K101" i="11"/>
  <c r="L102" i="11"/>
  <c r="T102" i="11" s="1"/>
  <c r="K105" i="11"/>
  <c r="L106" i="11"/>
  <c r="T106" i="11" s="1"/>
  <c r="U106" i="11" s="1"/>
  <c r="X106" i="11" s="1"/>
  <c r="K57" i="11"/>
  <c r="U57" i="11" s="1"/>
  <c r="X57" i="11" s="1"/>
  <c r="L58" i="11"/>
  <c r="T58" i="11" s="1"/>
  <c r="K61" i="11"/>
  <c r="L62" i="11"/>
  <c r="T62" i="11" s="1"/>
  <c r="K69" i="11"/>
  <c r="U69" i="11" s="1"/>
  <c r="X69" i="11" s="1"/>
  <c r="L70" i="11"/>
  <c r="T70" i="11" s="1"/>
  <c r="L79" i="11"/>
  <c r="T79" i="11" s="1"/>
  <c r="K82" i="11"/>
  <c r="U82" i="11" s="1"/>
  <c r="X82" i="11" s="1"/>
  <c r="K84" i="11"/>
  <c r="K86" i="11"/>
  <c r="K90" i="11"/>
  <c r="L91" i="11"/>
  <c r="T91" i="11" s="1"/>
  <c r="K98" i="11"/>
  <c r="L99" i="11"/>
  <c r="T99" i="11" s="1"/>
  <c r="L101" i="11"/>
  <c r="T101" i="11" s="1"/>
  <c r="K104" i="11"/>
  <c r="L105" i="11"/>
  <c r="T105" i="11" s="1"/>
  <c r="U98" i="11" l="1"/>
  <c r="X98" i="11" s="1"/>
  <c r="U18" i="11"/>
  <c r="X18" i="11" s="1"/>
  <c r="U84" i="11"/>
  <c r="X84" i="11" s="1"/>
  <c r="U90" i="11"/>
  <c r="X90" i="11" s="1"/>
  <c r="U27" i="11"/>
  <c r="X27" i="11" s="1"/>
  <c r="U86" i="11"/>
  <c r="X86" i="11" s="1"/>
  <c r="U102" i="11"/>
  <c r="X102" i="11" s="1"/>
  <c r="U96" i="11"/>
  <c r="X96" i="11" s="1"/>
  <c r="U52" i="11"/>
  <c r="X52" i="11" s="1"/>
  <c r="U61" i="11"/>
  <c r="X61" i="11" s="1"/>
  <c r="U105" i="11"/>
  <c r="X105" i="11" s="1"/>
  <c r="U70" i="11"/>
  <c r="X70" i="11" s="1"/>
  <c r="M108" i="11"/>
  <c r="U45" i="11"/>
  <c r="X45" i="11" s="1"/>
  <c r="T33" i="11"/>
  <c r="U33" i="11" s="1"/>
  <c r="X33" i="11" s="1"/>
  <c r="T7" i="11"/>
  <c r="U7" i="11" s="1"/>
  <c r="X7" i="11" s="1"/>
  <c r="X4" i="11"/>
  <c r="K108" i="11"/>
  <c r="U5" i="11"/>
  <c r="X5" i="11" s="1"/>
  <c r="T25" i="11"/>
  <c r="U25" i="11" s="1"/>
  <c r="X25" i="11" s="1"/>
  <c r="U101" i="11"/>
  <c r="X101" i="11" s="1"/>
  <c r="U91" i="11"/>
  <c r="X91" i="11" s="1"/>
  <c r="U62" i="11"/>
  <c r="T22" i="11"/>
  <c r="U22" i="11" s="1"/>
  <c r="X22" i="11" s="1"/>
  <c r="T24" i="11"/>
  <c r="U24" i="11" s="1"/>
  <c r="X24" i="11" s="1"/>
  <c r="L108" i="11"/>
  <c r="U104" i="11"/>
  <c r="X104" i="11" s="1"/>
  <c r="U99" i="11"/>
  <c r="X99" i="11" s="1"/>
  <c r="U79" i="11"/>
  <c r="X79" i="11" s="1"/>
  <c r="T41" i="11"/>
  <c r="U41" i="11" s="1"/>
  <c r="X41" i="11" s="1"/>
  <c r="T14" i="11"/>
  <c r="U14" i="11" s="1"/>
  <c r="X14" i="11" s="1"/>
  <c r="U108" i="11" l="1"/>
  <c r="T108" i="11"/>
  <c r="X108" i="11"/>
  <c r="C192" i="10" l="1"/>
  <c r="C172" i="10"/>
  <c r="C165" i="10"/>
  <c r="C167" i="10" s="1"/>
  <c r="W100" i="10"/>
  <c r="V100" i="10"/>
  <c r="R100" i="10"/>
  <c r="Q100" i="10"/>
  <c r="P100" i="10"/>
  <c r="N100" i="10"/>
  <c r="I100" i="10"/>
  <c r="E100" i="10"/>
  <c r="T99" i="10"/>
  <c r="G99" i="10"/>
  <c r="K99" i="10" s="1"/>
  <c r="U99" i="10" s="1"/>
  <c r="X99" i="10" s="1"/>
  <c r="O98" i="10"/>
  <c r="L98" i="10"/>
  <c r="T98" i="10" s="1"/>
  <c r="G98" i="10"/>
  <c r="M98" i="10" s="1"/>
  <c r="H97" i="10"/>
  <c r="G97" i="10"/>
  <c r="M97" i="10" s="1"/>
  <c r="G96" i="10"/>
  <c r="M95" i="10"/>
  <c r="H95" i="10"/>
  <c r="G95" i="10"/>
  <c r="L95" i="10" s="1"/>
  <c r="T95" i="10" s="1"/>
  <c r="T94" i="10"/>
  <c r="G94" i="10"/>
  <c r="J94" i="10" s="1"/>
  <c r="K94" i="10" s="1"/>
  <c r="U94" i="10" s="1"/>
  <c r="X94" i="10" s="1"/>
  <c r="G93" i="10"/>
  <c r="M93" i="10" s="1"/>
  <c r="G92" i="10"/>
  <c r="L92" i="10" s="1"/>
  <c r="T91" i="10"/>
  <c r="G91" i="10"/>
  <c r="K91" i="10" s="1"/>
  <c r="G90" i="10"/>
  <c r="O89" i="10"/>
  <c r="O100" i="10" s="1"/>
  <c r="G89" i="10"/>
  <c r="L89" i="10" s="1"/>
  <c r="M88" i="10"/>
  <c r="H88" i="10"/>
  <c r="G88" i="10"/>
  <c r="M87" i="10"/>
  <c r="L87" i="10"/>
  <c r="H87" i="10"/>
  <c r="G87" i="10"/>
  <c r="L86" i="10"/>
  <c r="T86" i="10" s="1"/>
  <c r="G86" i="10"/>
  <c r="K86" i="10" s="1"/>
  <c r="T85" i="10"/>
  <c r="G85" i="10"/>
  <c r="J85" i="10" s="1"/>
  <c r="K85" i="10" s="1"/>
  <c r="U85" i="10" s="1"/>
  <c r="X85" i="10" s="1"/>
  <c r="G84" i="10"/>
  <c r="L84" i="10" s="1"/>
  <c r="L83" i="10"/>
  <c r="G83" i="10"/>
  <c r="K83" i="10" s="1"/>
  <c r="G82" i="10"/>
  <c r="K82" i="10" s="1"/>
  <c r="M81" i="10"/>
  <c r="T81" i="10" s="1"/>
  <c r="G81" i="10"/>
  <c r="L81" i="10" s="1"/>
  <c r="T80" i="10"/>
  <c r="G80" i="10"/>
  <c r="J80" i="10" s="1"/>
  <c r="K80" i="10" s="1"/>
  <c r="T79" i="10"/>
  <c r="U79" i="10" s="1"/>
  <c r="X79" i="10" s="1"/>
  <c r="G79" i="10"/>
  <c r="J79" i="10" s="1"/>
  <c r="K79" i="10" s="1"/>
  <c r="T78" i="10"/>
  <c r="G78" i="10"/>
  <c r="K78" i="10" s="1"/>
  <c r="G77" i="10"/>
  <c r="T76" i="10"/>
  <c r="G76" i="10"/>
  <c r="K76" i="10" s="1"/>
  <c r="U76" i="10" s="1"/>
  <c r="X76" i="10" s="1"/>
  <c r="G75" i="10"/>
  <c r="L75" i="10" s="1"/>
  <c r="T74" i="10"/>
  <c r="K74" i="10"/>
  <c r="G74" i="10"/>
  <c r="G73" i="10"/>
  <c r="M73" i="10" s="1"/>
  <c r="G72" i="10"/>
  <c r="L72" i="10" s="1"/>
  <c r="M71" i="10"/>
  <c r="L71" i="10"/>
  <c r="G71" i="10"/>
  <c r="K71" i="10" s="1"/>
  <c r="G70" i="10"/>
  <c r="K70" i="10" s="1"/>
  <c r="T69" i="10"/>
  <c r="G69" i="10"/>
  <c r="K69" i="10" s="1"/>
  <c r="U69" i="10" s="1"/>
  <c r="X69" i="10" s="1"/>
  <c r="T68" i="10"/>
  <c r="G68" i="10"/>
  <c r="J68" i="10" s="1"/>
  <c r="K68" i="10" s="1"/>
  <c r="U68" i="10" s="1"/>
  <c r="X68" i="10" s="1"/>
  <c r="T67" i="10"/>
  <c r="G67" i="10"/>
  <c r="K67" i="10" s="1"/>
  <c r="M66" i="10"/>
  <c r="L66" i="10"/>
  <c r="T66" i="10" s="1"/>
  <c r="G66" i="10"/>
  <c r="K66" i="10" s="1"/>
  <c r="AA65" i="10"/>
  <c r="T65" i="10"/>
  <c r="K65" i="10"/>
  <c r="U65" i="10" s="1"/>
  <c r="X65" i="10" s="1"/>
  <c r="G64" i="10"/>
  <c r="AA63" i="10"/>
  <c r="G63" i="10"/>
  <c r="L63" i="10" s="1"/>
  <c r="G62" i="10"/>
  <c r="M61" i="10"/>
  <c r="G61" i="10"/>
  <c r="L61" i="10" s="1"/>
  <c r="H60" i="10"/>
  <c r="G60" i="10"/>
  <c r="M60" i="10" s="1"/>
  <c r="T59" i="10"/>
  <c r="G59" i="10"/>
  <c r="J59" i="10" s="1"/>
  <c r="K59" i="10" s="1"/>
  <c r="T58" i="10"/>
  <c r="K58" i="10"/>
  <c r="T57" i="10"/>
  <c r="G57" i="10"/>
  <c r="K57" i="10" s="1"/>
  <c r="T56" i="10"/>
  <c r="G56" i="10"/>
  <c r="K56" i="10" s="1"/>
  <c r="U56" i="10" s="1"/>
  <c r="X56" i="10" s="1"/>
  <c r="T55" i="10"/>
  <c r="G55" i="10"/>
  <c r="J55" i="10" s="1"/>
  <c r="K55" i="10" s="1"/>
  <c r="U55" i="10" s="1"/>
  <c r="X55" i="10" s="1"/>
  <c r="G54" i="10"/>
  <c r="M54" i="10" s="1"/>
  <c r="H53" i="10"/>
  <c r="G53" i="10"/>
  <c r="M53" i="10" s="1"/>
  <c r="T52" i="10"/>
  <c r="L52" i="10"/>
  <c r="G52" i="10"/>
  <c r="K52" i="10" s="1"/>
  <c r="G51" i="10"/>
  <c r="M50" i="10"/>
  <c r="G50" i="10"/>
  <c r="L50" i="10" s="1"/>
  <c r="K49" i="10"/>
  <c r="G49" i="10"/>
  <c r="G48" i="10"/>
  <c r="L48" i="10" s="1"/>
  <c r="T47" i="10"/>
  <c r="G47" i="10"/>
  <c r="K47" i="10" s="1"/>
  <c r="U47" i="10" s="1"/>
  <c r="X47" i="10" s="1"/>
  <c r="H46" i="10"/>
  <c r="G46" i="10"/>
  <c r="L46" i="10" s="1"/>
  <c r="K45" i="10"/>
  <c r="G45" i="10"/>
  <c r="M44" i="10"/>
  <c r="L44" i="10"/>
  <c r="H44" i="10"/>
  <c r="G44" i="10"/>
  <c r="T43" i="10"/>
  <c r="G43" i="10"/>
  <c r="K43" i="10" s="1"/>
  <c r="T42" i="10"/>
  <c r="G42" i="10"/>
  <c r="J42" i="10" s="1"/>
  <c r="T41" i="10"/>
  <c r="G41" i="10"/>
  <c r="K41" i="10" s="1"/>
  <c r="T40" i="10"/>
  <c r="G40" i="10"/>
  <c r="K40" i="10" s="1"/>
  <c r="T39" i="10"/>
  <c r="G39" i="10"/>
  <c r="J39" i="10" s="1"/>
  <c r="K39" i="10" s="1"/>
  <c r="G38" i="10"/>
  <c r="M38" i="10" s="1"/>
  <c r="G37" i="10"/>
  <c r="L37" i="10" s="1"/>
  <c r="G36" i="10"/>
  <c r="K36" i="10" s="1"/>
  <c r="G35" i="10"/>
  <c r="M35" i="10" s="1"/>
  <c r="M34" i="10"/>
  <c r="L34" i="10"/>
  <c r="J34" i="10"/>
  <c r="K34" i="10" s="1"/>
  <c r="G34" i="10"/>
  <c r="G33" i="10"/>
  <c r="M33" i="10" s="1"/>
  <c r="G32" i="10"/>
  <c r="L32" i="10" s="1"/>
  <c r="T31" i="10"/>
  <c r="G31" i="10"/>
  <c r="K31" i="10" s="1"/>
  <c r="G30" i="10"/>
  <c r="L30" i="10" s="1"/>
  <c r="M29" i="10"/>
  <c r="L29" i="10"/>
  <c r="G29" i="10"/>
  <c r="K29" i="10" s="1"/>
  <c r="T28" i="10"/>
  <c r="G28" i="10"/>
  <c r="K28" i="10" s="1"/>
  <c r="U28" i="10" s="1"/>
  <c r="X28" i="10" s="1"/>
  <c r="G27" i="10"/>
  <c r="K27" i="10" s="1"/>
  <c r="G26" i="10"/>
  <c r="M26" i="10" s="1"/>
  <c r="T25" i="10"/>
  <c r="G25" i="10"/>
  <c r="K25" i="10" s="1"/>
  <c r="U25" i="10" s="1"/>
  <c r="X25" i="10" s="1"/>
  <c r="T24" i="10"/>
  <c r="K24" i="10"/>
  <c r="U24" i="10" s="1"/>
  <c r="X24" i="10" s="1"/>
  <c r="G24" i="10"/>
  <c r="T23" i="10"/>
  <c r="G23" i="10"/>
  <c r="K23" i="10" s="1"/>
  <c r="M22" i="10"/>
  <c r="L22" i="10"/>
  <c r="G22" i="10"/>
  <c r="K22" i="10" s="1"/>
  <c r="G21" i="10"/>
  <c r="K21" i="10" s="1"/>
  <c r="M20" i="10"/>
  <c r="G20" i="10"/>
  <c r="L20" i="10" s="1"/>
  <c r="G19" i="10"/>
  <c r="M19" i="10" s="1"/>
  <c r="S18" i="10"/>
  <c r="S100" i="10" s="1"/>
  <c r="G18" i="10"/>
  <c r="M18" i="10" s="1"/>
  <c r="G17" i="10"/>
  <c r="L17" i="10" s="1"/>
  <c r="G16" i="10"/>
  <c r="K16" i="10" s="1"/>
  <c r="T15" i="10"/>
  <c r="G15" i="10"/>
  <c r="K15" i="10" s="1"/>
  <c r="U15" i="10" s="1"/>
  <c r="X15" i="10" s="1"/>
  <c r="M14" i="10"/>
  <c r="L14" i="10"/>
  <c r="G14" i="10"/>
  <c r="K14" i="10" s="1"/>
  <c r="T13" i="10"/>
  <c r="G13" i="10"/>
  <c r="K13" i="10" s="1"/>
  <c r="G12" i="10"/>
  <c r="K12" i="10" s="1"/>
  <c r="T11" i="10"/>
  <c r="G11" i="10"/>
  <c r="T10" i="10"/>
  <c r="G10" i="10"/>
  <c r="K10" i="10" s="1"/>
  <c r="U10" i="10" s="1"/>
  <c r="X10" i="10" s="1"/>
  <c r="M9" i="10"/>
  <c r="L9" i="10"/>
  <c r="T9" i="10" s="1"/>
  <c r="G9" i="10"/>
  <c r="K9" i="10" s="1"/>
  <c r="G8" i="10"/>
  <c r="M8" i="10" s="1"/>
  <c r="G7" i="10"/>
  <c r="M7" i="10" s="1"/>
  <c r="G6" i="10"/>
  <c r="L6" i="10" s="1"/>
  <c r="M5" i="10"/>
  <c r="L5" i="10"/>
  <c r="G5" i="10"/>
  <c r="K5" i="10" s="1"/>
  <c r="M4" i="10"/>
  <c r="L4" i="10"/>
  <c r="K4" i="10"/>
  <c r="T4" i="10" l="1"/>
  <c r="K8" i="10"/>
  <c r="K18" i="10"/>
  <c r="T20" i="10"/>
  <c r="T34" i="10"/>
  <c r="U40" i="10"/>
  <c r="X40" i="10" s="1"/>
  <c r="M46" i="10"/>
  <c r="T46" i="10" s="1"/>
  <c r="U57" i="10"/>
  <c r="X57" i="10" s="1"/>
  <c r="T61" i="10"/>
  <c r="M63" i="10"/>
  <c r="T63" i="10" s="1"/>
  <c r="M75" i="10"/>
  <c r="T75" i="10" s="1"/>
  <c r="U75" i="10" s="1"/>
  <c r="X75" i="10" s="1"/>
  <c r="U78" i="10"/>
  <c r="X78" i="10" s="1"/>
  <c r="U80" i="10"/>
  <c r="X80" i="10" s="1"/>
  <c r="M83" i="10"/>
  <c r="T83" i="10" s="1"/>
  <c r="U83" i="10" s="1"/>
  <c r="X83" i="10" s="1"/>
  <c r="M89" i="10"/>
  <c r="T89" i="10" s="1"/>
  <c r="L18" i="10"/>
  <c r="T18" i="10" s="1"/>
  <c r="L8" i="10"/>
  <c r="U9" i="10"/>
  <c r="X9" i="10" s="1"/>
  <c r="U13" i="10"/>
  <c r="X13" i="10" s="1"/>
  <c r="U23" i="10"/>
  <c r="X23" i="10" s="1"/>
  <c r="U39" i="10"/>
  <c r="X39" i="10" s="1"/>
  <c r="U41" i="10"/>
  <c r="X41" i="10" s="1"/>
  <c r="T50" i="10"/>
  <c r="T87" i="10"/>
  <c r="K95" i="10"/>
  <c r="M6" i="10"/>
  <c r="T6" i="10" s="1"/>
  <c r="J11" i="10"/>
  <c r="K11" i="10" s="1"/>
  <c r="U11" i="10" s="1"/>
  <c r="X11" i="10" s="1"/>
  <c r="T14" i="10"/>
  <c r="K20" i="10"/>
  <c r="U20" i="10" s="1"/>
  <c r="X20" i="10" s="1"/>
  <c r="K26" i="10"/>
  <c r="L27" i="10"/>
  <c r="K33" i="10"/>
  <c r="K35" i="10"/>
  <c r="L36" i="10"/>
  <c r="K42" i="10"/>
  <c r="U42" i="10" s="1"/>
  <c r="X42" i="10" s="1"/>
  <c r="K48" i="10"/>
  <c r="K54" i="10"/>
  <c r="U54" i="10" s="1"/>
  <c r="K93" i="10"/>
  <c r="L26" i="10"/>
  <c r="M27" i="10"/>
  <c r="T27" i="10" s="1"/>
  <c r="U27" i="10" s="1"/>
  <c r="X27" i="10" s="1"/>
  <c r="K32" i="10"/>
  <c r="L33" i="10"/>
  <c r="T33" i="10" s="1"/>
  <c r="L35" i="10"/>
  <c r="M36" i="10"/>
  <c r="M48" i="10"/>
  <c r="K50" i="10"/>
  <c r="U52" i="10"/>
  <c r="X52" i="10" s="1"/>
  <c r="K53" i="10"/>
  <c r="U53" i="10" s="1"/>
  <c r="X53" i="10" s="1"/>
  <c r="L54" i="10"/>
  <c r="T54" i="10" s="1"/>
  <c r="K60" i="10"/>
  <c r="K61" i="10"/>
  <c r="U61" i="10" s="1"/>
  <c r="X61" i="10" s="1"/>
  <c r="L93" i="10"/>
  <c r="T93" i="10" s="1"/>
  <c r="T22" i="10"/>
  <c r="T29" i="10"/>
  <c r="M32" i="10"/>
  <c r="T32" i="10" s="1"/>
  <c r="K46" i="10"/>
  <c r="L53" i="10"/>
  <c r="T53" i="10" s="1"/>
  <c r="U59" i="10"/>
  <c r="X59" i="10" s="1"/>
  <c r="L60" i="10"/>
  <c r="T60" i="10" s="1"/>
  <c r="K63" i="10"/>
  <c r="U63" i="10" s="1"/>
  <c r="X63" i="10" s="1"/>
  <c r="U67" i="10"/>
  <c r="X67" i="10" s="1"/>
  <c r="K75" i="10"/>
  <c r="K81" i="10"/>
  <c r="U81" i="10" s="1"/>
  <c r="X81" i="10" s="1"/>
  <c r="K89" i="10"/>
  <c r="U91" i="10"/>
  <c r="X91" i="10" s="1"/>
  <c r="M92" i="10"/>
  <c r="T92" i="10" s="1"/>
  <c r="K98" i="10"/>
  <c r="U98" i="10" s="1"/>
  <c r="X98" i="10" s="1"/>
  <c r="U18" i="10"/>
  <c r="X18" i="10" s="1"/>
  <c r="U4" i="10"/>
  <c r="T8" i="10"/>
  <c r="U8" i="10" s="1"/>
  <c r="X8" i="10" s="1"/>
  <c r="U22" i="10"/>
  <c r="X22" i="10" s="1"/>
  <c r="U33" i="10"/>
  <c r="X33" i="10" s="1"/>
  <c r="U34" i="10"/>
  <c r="X34" i="10" s="1"/>
  <c r="U32" i="10"/>
  <c r="X32" i="10" s="1"/>
  <c r="U29" i="10"/>
  <c r="X29" i="10" s="1"/>
  <c r="K51" i="10"/>
  <c r="M51" i="10"/>
  <c r="L96" i="10"/>
  <c r="M96" i="10"/>
  <c r="K62" i="10"/>
  <c r="L62" i="10"/>
  <c r="T62" i="10" s="1"/>
  <c r="K7" i="10"/>
  <c r="L12" i="10"/>
  <c r="L16" i="10"/>
  <c r="K19" i="10"/>
  <c r="K37" i="10"/>
  <c r="L51" i="10"/>
  <c r="M62" i="10"/>
  <c r="L64" i="10"/>
  <c r="M64" i="10"/>
  <c r="U66" i="10"/>
  <c r="X66" i="10" s="1"/>
  <c r="L77" i="10"/>
  <c r="M77" i="10"/>
  <c r="K96" i="10"/>
  <c r="G100" i="10"/>
  <c r="T5" i="10"/>
  <c r="U5" i="10" s="1"/>
  <c r="X5" i="10" s="1"/>
  <c r="K6" i="10"/>
  <c r="L7" i="10"/>
  <c r="T7" i="10" s="1"/>
  <c r="M12" i="10"/>
  <c r="U14" i="10"/>
  <c r="X14" i="10" s="1"/>
  <c r="M16" i="10"/>
  <c r="K17" i="10"/>
  <c r="L19" i="10"/>
  <c r="T19" i="10" s="1"/>
  <c r="M21" i="10"/>
  <c r="T26" i="10"/>
  <c r="U26" i="10" s="1"/>
  <c r="X26" i="10" s="1"/>
  <c r="K30" i="10"/>
  <c r="M37" i="10"/>
  <c r="T37" i="10" s="1"/>
  <c r="K38" i="10"/>
  <c r="U43" i="10"/>
  <c r="X43" i="10" s="1"/>
  <c r="H100" i="10"/>
  <c r="L45" i="10"/>
  <c r="M45" i="10"/>
  <c r="T48" i="10"/>
  <c r="U48" i="10" s="1"/>
  <c r="X48" i="10" s="1"/>
  <c r="M49" i="10"/>
  <c r="L49" i="10"/>
  <c r="T49" i="10" s="1"/>
  <c r="U49" i="10" s="1"/>
  <c r="X49" i="10" s="1"/>
  <c r="K64" i="10"/>
  <c r="K72" i="10"/>
  <c r="M72" i="10"/>
  <c r="T72" i="10" s="1"/>
  <c r="L73" i="10"/>
  <c r="T73" i="10" s="1"/>
  <c r="K73" i="10"/>
  <c r="K77" i="10"/>
  <c r="M82" i="10"/>
  <c r="L82" i="10"/>
  <c r="K84" i="10"/>
  <c r="M84" i="10"/>
  <c r="T84" i="10" s="1"/>
  <c r="K88" i="10"/>
  <c r="L88" i="10"/>
  <c r="T88" i="10" s="1"/>
  <c r="M70" i="10"/>
  <c r="L70" i="10"/>
  <c r="L21" i="10"/>
  <c r="T21" i="10" s="1"/>
  <c r="U21" i="10" s="1"/>
  <c r="X21" i="10" s="1"/>
  <c r="M17" i="10"/>
  <c r="T17" i="10" s="1"/>
  <c r="M30" i="10"/>
  <c r="T30" i="10" s="1"/>
  <c r="U31" i="10"/>
  <c r="X31" i="10" s="1"/>
  <c r="T35" i="10"/>
  <c r="U35" i="10" s="1"/>
  <c r="X35" i="10" s="1"/>
  <c r="L38" i="10"/>
  <c r="T38" i="10" s="1"/>
  <c r="T44" i="10"/>
  <c r="U58" i="10"/>
  <c r="X58" i="10" s="1"/>
  <c r="T71" i="10"/>
  <c r="U71" i="10" s="1"/>
  <c r="X71" i="10" s="1"/>
  <c r="U74" i="10"/>
  <c r="X74" i="10" s="1"/>
  <c r="L90" i="10"/>
  <c r="M90" i="10"/>
  <c r="K90" i="10"/>
  <c r="L97" i="10"/>
  <c r="T97" i="10" s="1"/>
  <c r="K97" i="10"/>
  <c r="U95" i="10"/>
  <c r="X95" i="10" s="1"/>
  <c r="K44" i="10"/>
  <c r="U86" i="10"/>
  <c r="X86" i="10" s="1"/>
  <c r="K87" i="10"/>
  <c r="U87" i="10" s="1"/>
  <c r="X87" i="10" s="1"/>
  <c r="K92" i="10"/>
  <c r="U92" i="10" s="1"/>
  <c r="X92" i="10" s="1"/>
  <c r="U60" i="10" l="1"/>
  <c r="X60" i="10" s="1"/>
  <c r="U89" i="10"/>
  <c r="X89" i="10" s="1"/>
  <c r="U50" i="10"/>
  <c r="X50" i="10" s="1"/>
  <c r="U46" i="10"/>
  <c r="X46" i="10" s="1"/>
  <c r="U73" i="10"/>
  <c r="X73" i="10" s="1"/>
  <c r="U84" i="10"/>
  <c r="X84" i="10" s="1"/>
  <c r="U6" i="10"/>
  <c r="X6" i="10" s="1"/>
  <c r="T45" i="10"/>
  <c r="U45" i="10" s="1"/>
  <c r="X45" i="10" s="1"/>
  <c r="T36" i="10"/>
  <c r="U36" i="10" s="1"/>
  <c r="X36" i="10" s="1"/>
  <c r="U88" i="10"/>
  <c r="X88" i="10" s="1"/>
  <c r="U93" i="10"/>
  <c r="X93" i="10" s="1"/>
  <c r="T64" i="10"/>
  <c r="U64" i="10" s="1"/>
  <c r="X64" i="10" s="1"/>
  <c r="J100" i="10"/>
  <c r="T51" i="10"/>
  <c r="T12" i="10"/>
  <c r="U12" i="10" s="1"/>
  <c r="X12" i="10" s="1"/>
  <c r="U44" i="10"/>
  <c r="X44" i="10" s="1"/>
  <c r="T82" i="10"/>
  <c r="U82" i="10" s="1"/>
  <c r="X82" i="10" s="1"/>
  <c r="U38" i="10"/>
  <c r="X38" i="10" s="1"/>
  <c r="U37" i="10"/>
  <c r="X37" i="10" s="1"/>
  <c r="U7" i="10"/>
  <c r="X7" i="10" s="1"/>
  <c r="L100" i="10"/>
  <c r="U51" i="10"/>
  <c r="X51" i="10" s="1"/>
  <c r="X4" i="10"/>
  <c r="M100" i="10"/>
  <c r="U19" i="10"/>
  <c r="X19" i="10" s="1"/>
  <c r="U17" i="10"/>
  <c r="X17" i="10" s="1"/>
  <c r="U97" i="10"/>
  <c r="X97" i="10" s="1"/>
  <c r="T90" i="10"/>
  <c r="U90" i="10" s="1"/>
  <c r="X90" i="10" s="1"/>
  <c r="T70" i="10"/>
  <c r="U70" i="10" s="1"/>
  <c r="X70" i="10" s="1"/>
  <c r="K100" i="10"/>
  <c r="U77" i="10"/>
  <c r="X77" i="10" s="1"/>
  <c r="U72" i="10"/>
  <c r="X72" i="10" s="1"/>
  <c r="U30" i="10"/>
  <c r="X30" i="10" s="1"/>
  <c r="T77" i="10"/>
  <c r="T16" i="10"/>
  <c r="U16" i="10" s="1"/>
  <c r="X16" i="10" s="1"/>
  <c r="U62" i="10"/>
  <c r="X62" i="10" s="1"/>
  <c r="T96" i="10"/>
  <c r="U96" i="10" s="1"/>
  <c r="X96" i="10" s="1"/>
  <c r="X100" i="10" l="1"/>
  <c r="U100" i="10"/>
  <c r="T100" i="10"/>
  <c r="C190" i="9" l="1"/>
  <c r="C170" i="9"/>
  <c r="C163" i="9"/>
  <c r="C165" i="9" s="1"/>
  <c r="W98" i="9"/>
  <c r="V98" i="9"/>
  <c r="R98" i="9"/>
  <c r="Q98" i="9"/>
  <c r="P98" i="9"/>
  <c r="O98" i="9"/>
  <c r="N98" i="9"/>
  <c r="I98" i="9"/>
  <c r="E98" i="9"/>
  <c r="T97" i="9"/>
  <c r="G97" i="9"/>
  <c r="K97" i="9" s="1"/>
  <c r="U97" i="9" s="1"/>
  <c r="X97" i="9" s="1"/>
  <c r="G96" i="9"/>
  <c r="H95" i="9"/>
  <c r="G95" i="9"/>
  <c r="G94" i="9"/>
  <c r="L94" i="9" s="1"/>
  <c r="L93" i="9"/>
  <c r="H93" i="9"/>
  <c r="G93" i="9"/>
  <c r="K93" i="9" s="1"/>
  <c r="T92" i="9"/>
  <c r="G92" i="9"/>
  <c r="K92" i="9" s="1"/>
  <c r="U92" i="9" s="1"/>
  <c r="X92" i="9" s="1"/>
  <c r="G91" i="9"/>
  <c r="L91" i="9" s="1"/>
  <c r="G90" i="9"/>
  <c r="K90" i="9" s="1"/>
  <c r="T89" i="9"/>
  <c r="G89" i="9"/>
  <c r="K89" i="9" s="1"/>
  <c r="U89" i="9" s="1"/>
  <c r="X89" i="9" s="1"/>
  <c r="G88" i="9"/>
  <c r="K88" i="9" s="1"/>
  <c r="M87" i="9"/>
  <c r="L87" i="9"/>
  <c r="T87" i="9" s="1"/>
  <c r="K87" i="9"/>
  <c r="U87" i="9" s="1"/>
  <c r="X87" i="9" s="1"/>
  <c r="G87" i="9"/>
  <c r="H86" i="9"/>
  <c r="G86" i="9"/>
  <c r="M86" i="9" s="1"/>
  <c r="H85" i="9"/>
  <c r="G85" i="9"/>
  <c r="M85" i="9" s="1"/>
  <c r="L84" i="9"/>
  <c r="T84" i="9" s="1"/>
  <c r="G84" i="9"/>
  <c r="K84" i="9" s="1"/>
  <c r="G83" i="9"/>
  <c r="K83" i="9" s="1"/>
  <c r="M82" i="9"/>
  <c r="L82" i="9"/>
  <c r="T82" i="9" s="1"/>
  <c r="K82" i="9"/>
  <c r="U82" i="9" s="1"/>
  <c r="X82" i="9" s="1"/>
  <c r="G82" i="9"/>
  <c r="G81" i="9"/>
  <c r="M80" i="9"/>
  <c r="K80" i="9"/>
  <c r="G80" i="9"/>
  <c r="L80" i="9" s="1"/>
  <c r="G79" i="9"/>
  <c r="K79" i="9" s="1"/>
  <c r="T78" i="9"/>
  <c r="U78" i="9" s="1"/>
  <c r="X78" i="9" s="1"/>
  <c r="G78" i="9"/>
  <c r="J78" i="9" s="1"/>
  <c r="K78" i="9" s="1"/>
  <c r="T77" i="9"/>
  <c r="G77" i="9"/>
  <c r="K77" i="9" s="1"/>
  <c r="U77" i="9" s="1"/>
  <c r="X77" i="9" s="1"/>
  <c r="T76" i="9"/>
  <c r="G76" i="9"/>
  <c r="K76" i="9" s="1"/>
  <c r="U76" i="9" s="1"/>
  <c r="X76" i="9" s="1"/>
  <c r="G75" i="9"/>
  <c r="M75" i="9" s="1"/>
  <c r="T74" i="9"/>
  <c r="G74" i="9"/>
  <c r="K74" i="9" s="1"/>
  <c r="G73" i="9"/>
  <c r="L73" i="9" s="1"/>
  <c r="T72" i="9"/>
  <c r="G72" i="9"/>
  <c r="K72" i="9" s="1"/>
  <c r="G71" i="9"/>
  <c r="L71" i="9" s="1"/>
  <c r="T70" i="9"/>
  <c r="G70" i="9"/>
  <c r="K70" i="9" s="1"/>
  <c r="U70" i="9" s="1"/>
  <c r="X70" i="9" s="1"/>
  <c r="G69" i="9"/>
  <c r="L69" i="9" s="1"/>
  <c r="G68" i="9"/>
  <c r="T67" i="9"/>
  <c r="G67" i="9"/>
  <c r="K67" i="9" s="1"/>
  <c r="T66" i="9"/>
  <c r="G66" i="9"/>
  <c r="K66" i="9" s="1"/>
  <c r="M65" i="9"/>
  <c r="L65" i="9"/>
  <c r="G65" i="9"/>
  <c r="K65" i="9" s="1"/>
  <c r="AA64" i="9"/>
  <c r="T64" i="9"/>
  <c r="G64" i="9"/>
  <c r="K64" i="9" s="1"/>
  <c r="U64" i="9" s="1"/>
  <c r="X64" i="9" s="1"/>
  <c r="G63" i="9"/>
  <c r="K63" i="9" s="1"/>
  <c r="G62" i="9"/>
  <c r="L62" i="9" s="1"/>
  <c r="AA61" i="9"/>
  <c r="G61" i="9"/>
  <c r="L61" i="9" s="1"/>
  <c r="G60" i="9"/>
  <c r="H59" i="9"/>
  <c r="G59" i="9"/>
  <c r="M59" i="9" s="1"/>
  <c r="T58" i="9"/>
  <c r="G58" i="9"/>
  <c r="J58" i="9" s="1"/>
  <c r="K58" i="9" s="1"/>
  <c r="T57" i="9"/>
  <c r="G57" i="9"/>
  <c r="K57" i="9" s="1"/>
  <c r="U57" i="9" s="1"/>
  <c r="X57" i="9" s="1"/>
  <c r="T56" i="9"/>
  <c r="G56" i="9"/>
  <c r="K56" i="9" s="1"/>
  <c r="U56" i="9" s="1"/>
  <c r="X56" i="9" s="1"/>
  <c r="G55" i="9"/>
  <c r="L55" i="9" s="1"/>
  <c r="G54" i="9"/>
  <c r="K54" i="9" s="1"/>
  <c r="G53" i="9"/>
  <c r="H52" i="9"/>
  <c r="G52" i="9"/>
  <c r="L51" i="9"/>
  <c r="T51" i="9" s="1"/>
  <c r="G51" i="9"/>
  <c r="K51" i="9" s="1"/>
  <c r="G50" i="9"/>
  <c r="L50" i="9" s="1"/>
  <c r="G49" i="9"/>
  <c r="G48" i="9"/>
  <c r="L48" i="9" s="1"/>
  <c r="G47" i="9"/>
  <c r="K47" i="9" s="1"/>
  <c r="T46" i="9"/>
  <c r="G46" i="9"/>
  <c r="K46" i="9" s="1"/>
  <c r="U46" i="9" s="1"/>
  <c r="X46" i="9" s="1"/>
  <c r="L45" i="9"/>
  <c r="H45" i="9"/>
  <c r="G45" i="9"/>
  <c r="G44" i="9"/>
  <c r="K44" i="9" s="1"/>
  <c r="H43" i="9"/>
  <c r="G43" i="9"/>
  <c r="M43" i="9" s="1"/>
  <c r="T42" i="9"/>
  <c r="G42" i="9"/>
  <c r="K42" i="9" s="1"/>
  <c r="U42" i="9" s="1"/>
  <c r="X42" i="9" s="1"/>
  <c r="T41" i="9"/>
  <c r="G41" i="9"/>
  <c r="J41" i="9" s="1"/>
  <c r="K41" i="9" s="1"/>
  <c r="T40" i="9"/>
  <c r="G40" i="9"/>
  <c r="K40" i="9" s="1"/>
  <c r="U40" i="9" s="1"/>
  <c r="X40" i="9" s="1"/>
  <c r="T39" i="9"/>
  <c r="G39" i="9"/>
  <c r="K39" i="9" s="1"/>
  <c r="T38" i="9"/>
  <c r="G38" i="9"/>
  <c r="J38" i="9" s="1"/>
  <c r="K38" i="9" s="1"/>
  <c r="G37" i="9"/>
  <c r="G36" i="9"/>
  <c r="M36" i="9" s="1"/>
  <c r="G35" i="9"/>
  <c r="L35" i="9" s="1"/>
  <c r="G34" i="9"/>
  <c r="L34" i="9" s="1"/>
  <c r="G33" i="9"/>
  <c r="L33" i="9" s="1"/>
  <c r="G32" i="9"/>
  <c r="M32" i="9" s="1"/>
  <c r="T31" i="9"/>
  <c r="G31" i="9"/>
  <c r="K31" i="9" s="1"/>
  <c r="G30" i="9"/>
  <c r="L30" i="9" s="1"/>
  <c r="M29" i="9"/>
  <c r="L29" i="9"/>
  <c r="T29" i="9" s="1"/>
  <c r="G29" i="9"/>
  <c r="K29" i="9" s="1"/>
  <c r="U29" i="9" s="1"/>
  <c r="X29" i="9" s="1"/>
  <c r="T28" i="9"/>
  <c r="G28" i="9"/>
  <c r="K28" i="9" s="1"/>
  <c r="U28" i="9" s="1"/>
  <c r="X28" i="9" s="1"/>
  <c r="G27" i="9"/>
  <c r="L27" i="9" s="1"/>
  <c r="G26" i="9"/>
  <c r="M26" i="9" s="1"/>
  <c r="T25" i="9"/>
  <c r="K25" i="9"/>
  <c r="G25" i="9"/>
  <c r="T24" i="9"/>
  <c r="G24" i="9"/>
  <c r="K24" i="9" s="1"/>
  <c r="U24" i="9" s="1"/>
  <c r="X24" i="9" s="1"/>
  <c r="T23" i="9"/>
  <c r="G23" i="9"/>
  <c r="K23" i="9" s="1"/>
  <c r="M22" i="9"/>
  <c r="L22" i="9"/>
  <c r="G22" i="9"/>
  <c r="K22" i="9" s="1"/>
  <c r="M21" i="9"/>
  <c r="G21" i="9"/>
  <c r="L21" i="9" s="1"/>
  <c r="T21" i="9" s="1"/>
  <c r="G20" i="9"/>
  <c r="M20" i="9" s="1"/>
  <c r="S19" i="9"/>
  <c r="S98" i="9" s="1"/>
  <c r="G19" i="9"/>
  <c r="M19" i="9" s="1"/>
  <c r="G18" i="9"/>
  <c r="M18" i="9" s="1"/>
  <c r="G17" i="9"/>
  <c r="L17" i="9" s="1"/>
  <c r="T16" i="9"/>
  <c r="G16" i="9"/>
  <c r="K16" i="9" s="1"/>
  <c r="G15" i="9"/>
  <c r="L15" i="9" s="1"/>
  <c r="M14" i="9"/>
  <c r="L14" i="9"/>
  <c r="T14" i="9" s="1"/>
  <c r="G14" i="9"/>
  <c r="K14" i="9" s="1"/>
  <c r="G13" i="9"/>
  <c r="M13" i="9" s="1"/>
  <c r="T12" i="9"/>
  <c r="G12" i="9"/>
  <c r="J12" i="9" s="1"/>
  <c r="T11" i="9"/>
  <c r="G11" i="9"/>
  <c r="K11" i="9" s="1"/>
  <c r="M10" i="9"/>
  <c r="G10" i="9"/>
  <c r="L10" i="9" s="1"/>
  <c r="T10" i="9" s="1"/>
  <c r="G9" i="9"/>
  <c r="L9" i="9" s="1"/>
  <c r="G8" i="9"/>
  <c r="M8" i="9" s="1"/>
  <c r="G7" i="9"/>
  <c r="M7" i="9" s="1"/>
  <c r="M6" i="9"/>
  <c r="G6" i="9"/>
  <c r="L6" i="9" s="1"/>
  <c r="M5" i="9"/>
  <c r="L5" i="9"/>
  <c r="K5" i="9"/>
  <c r="G5" i="9"/>
  <c r="M4" i="9"/>
  <c r="L4" i="9"/>
  <c r="T4" i="9" s="1"/>
  <c r="K4" i="9"/>
  <c r="K13" i="9" l="1"/>
  <c r="K32" i="9"/>
  <c r="K50" i="9"/>
  <c r="L54" i="9"/>
  <c r="L13" i="9"/>
  <c r="L32" i="9"/>
  <c r="T32" i="9" s="1"/>
  <c r="K45" i="9"/>
  <c r="M48" i="9"/>
  <c r="M50" i="9"/>
  <c r="M73" i="9"/>
  <c r="T73" i="9" s="1"/>
  <c r="T9" i="9"/>
  <c r="U9" i="9" s="1"/>
  <c r="X9" i="9" s="1"/>
  <c r="M9" i="9"/>
  <c r="M27" i="9"/>
  <c r="T27" i="9" s="1"/>
  <c r="U27" i="9" s="1"/>
  <c r="X27" i="9" s="1"/>
  <c r="M30" i="9"/>
  <c r="T30" i="9" s="1"/>
  <c r="K48" i="9"/>
  <c r="U48" i="9" s="1"/>
  <c r="X48" i="9" s="1"/>
  <c r="L8" i="9"/>
  <c r="U14" i="9"/>
  <c r="X14" i="9" s="1"/>
  <c r="U16" i="9"/>
  <c r="X16" i="9" s="1"/>
  <c r="L26" i="9"/>
  <c r="U39" i="9"/>
  <c r="X39" i="9" s="1"/>
  <c r="U41" i="9"/>
  <c r="X41" i="9" s="1"/>
  <c r="M55" i="9"/>
  <c r="T55" i="9" s="1"/>
  <c r="U67" i="9"/>
  <c r="X67" i="9" s="1"/>
  <c r="M69" i="9"/>
  <c r="K34" i="9"/>
  <c r="K36" i="9"/>
  <c r="L44" i="9"/>
  <c r="K71" i="9"/>
  <c r="K75" i="9"/>
  <c r="U75" i="9" s="1"/>
  <c r="X75" i="9" s="1"/>
  <c r="L83" i="9"/>
  <c r="K86" i="9"/>
  <c r="L88" i="9"/>
  <c r="L90" i="9"/>
  <c r="U25" i="9"/>
  <c r="X25" i="9" s="1"/>
  <c r="K9" i="9"/>
  <c r="T17" i="9"/>
  <c r="T22" i="9"/>
  <c r="U22" i="9" s="1"/>
  <c r="X22" i="9" s="1"/>
  <c r="L36" i="9"/>
  <c r="L47" i="9"/>
  <c r="K55" i="9"/>
  <c r="K61" i="9"/>
  <c r="K62" i="9"/>
  <c r="L63" i="9"/>
  <c r="T69" i="9"/>
  <c r="M71" i="9"/>
  <c r="T71" i="9" s="1"/>
  <c r="K73" i="9"/>
  <c r="L75" i="9"/>
  <c r="T75" i="9" s="1"/>
  <c r="L79" i="9"/>
  <c r="U84" i="9"/>
  <c r="X84" i="9" s="1"/>
  <c r="K85" i="9"/>
  <c r="L86" i="9"/>
  <c r="T86" i="9" s="1"/>
  <c r="U86" i="9" s="1"/>
  <c r="X86" i="9" s="1"/>
  <c r="M94" i="9"/>
  <c r="T94" i="9" s="1"/>
  <c r="K21" i="9"/>
  <c r="U21" i="9" s="1"/>
  <c r="X21" i="9" s="1"/>
  <c r="K19" i="9"/>
  <c r="K20" i="9"/>
  <c r="U20" i="9" s="1"/>
  <c r="X20" i="9" s="1"/>
  <c r="K27" i="9"/>
  <c r="U31" i="9"/>
  <c r="X31" i="9" s="1"/>
  <c r="M34" i="9"/>
  <c r="T34" i="9" s="1"/>
  <c r="H98" i="9"/>
  <c r="T6" i="9"/>
  <c r="K8" i="9"/>
  <c r="U11" i="9"/>
  <c r="X11" i="9" s="1"/>
  <c r="M15" i="9"/>
  <c r="T15" i="9" s="1"/>
  <c r="M17" i="9"/>
  <c r="L19" i="9"/>
  <c r="T19" i="9" s="1"/>
  <c r="L20" i="9"/>
  <c r="T20" i="9" s="1"/>
  <c r="U23" i="9"/>
  <c r="X23" i="9" s="1"/>
  <c r="K26" i="9"/>
  <c r="K43" i="9"/>
  <c r="T50" i="9"/>
  <c r="U50" i="9" s="1"/>
  <c r="X50" i="9" s="1"/>
  <c r="U58" i="9"/>
  <c r="X58" i="9" s="1"/>
  <c r="M61" i="9"/>
  <c r="T61" i="9" s="1"/>
  <c r="M62" i="9"/>
  <c r="T62" i="9" s="1"/>
  <c r="T65" i="9"/>
  <c r="U65" i="9" s="1"/>
  <c r="X65" i="9" s="1"/>
  <c r="K69" i="9"/>
  <c r="T80" i="9"/>
  <c r="L85" i="9"/>
  <c r="T85" i="9" s="1"/>
  <c r="U85" i="9" s="1"/>
  <c r="X85" i="9" s="1"/>
  <c r="M91" i="9"/>
  <c r="T91" i="9" s="1"/>
  <c r="U4" i="9"/>
  <c r="T8" i="9"/>
  <c r="U8" i="9" s="1"/>
  <c r="X8" i="9" s="1"/>
  <c r="T26" i="9"/>
  <c r="U26" i="9" s="1"/>
  <c r="X26" i="9" s="1"/>
  <c r="J98" i="9"/>
  <c r="K12" i="9"/>
  <c r="U12" i="9" s="1"/>
  <c r="X12" i="9" s="1"/>
  <c r="T13" i="9"/>
  <c r="U13" i="9" s="1"/>
  <c r="X13" i="9" s="1"/>
  <c r="M96" i="9"/>
  <c r="L96" i="9"/>
  <c r="K96" i="9"/>
  <c r="K7" i="9"/>
  <c r="M37" i="9"/>
  <c r="K37" i="9"/>
  <c r="M49" i="9"/>
  <c r="L49" i="9"/>
  <c r="K49" i="9"/>
  <c r="L52" i="9"/>
  <c r="K52" i="9"/>
  <c r="U80" i="9"/>
  <c r="X80" i="9" s="1"/>
  <c r="L95" i="9"/>
  <c r="K95" i="9"/>
  <c r="M33" i="9"/>
  <c r="T33" i="9" s="1"/>
  <c r="K33" i="9"/>
  <c r="M53" i="9"/>
  <c r="L53" i="9"/>
  <c r="K53" i="9"/>
  <c r="K18" i="9"/>
  <c r="G98" i="9"/>
  <c r="T5" i="9"/>
  <c r="K6" i="9"/>
  <c r="U6" i="9" s="1"/>
  <c r="X6" i="9" s="1"/>
  <c r="L7" i="9"/>
  <c r="T7" i="9" s="1"/>
  <c r="K10" i="9"/>
  <c r="U10" i="9" s="1"/>
  <c r="X10" i="9" s="1"/>
  <c r="K15" i="9"/>
  <c r="K17" i="9"/>
  <c r="L18" i="9"/>
  <c r="T18" i="9" s="1"/>
  <c r="K30" i="9"/>
  <c r="T36" i="9"/>
  <c r="L37" i="9"/>
  <c r="T37" i="9" s="1"/>
  <c r="U38" i="9"/>
  <c r="X38" i="9" s="1"/>
  <c r="T48" i="9"/>
  <c r="M60" i="9"/>
  <c r="L60" i="9"/>
  <c r="K60" i="9"/>
  <c r="U66" i="9"/>
  <c r="X66" i="9" s="1"/>
  <c r="U74" i="9"/>
  <c r="X74" i="9" s="1"/>
  <c r="K35" i="9"/>
  <c r="M35" i="9"/>
  <c r="T35" i="9" s="1"/>
  <c r="U5" i="9"/>
  <c r="X5" i="9" s="1"/>
  <c r="U51" i="9"/>
  <c r="X51" i="9" s="1"/>
  <c r="M52" i="9"/>
  <c r="L59" i="9"/>
  <c r="T59" i="9" s="1"/>
  <c r="K59" i="9"/>
  <c r="M68" i="9"/>
  <c r="L68" i="9"/>
  <c r="K68" i="9"/>
  <c r="U72" i="9"/>
  <c r="X72" i="9" s="1"/>
  <c r="M81" i="9"/>
  <c r="L81" i="9"/>
  <c r="K81" i="9"/>
  <c r="M95" i="9"/>
  <c r="L43" i="9"/>
  <c r="T43" i="9" s="1"/>
  <c r="M44" i="9"/>
  <c r="T44" i="9" s="1"/>
  <c r="U44" i="9" s="1"/>
  <c r="X44" i="9" s="1"/>
  <c r="M45" i="9"/>
  <c r="T45" i="9" s="1"/>
  <c r="M47" i="9"/>
  <c r="T47" i="9" s="1"/>
  <c r="U47" i="9" s="1"/>
  <c r="X47" i="9" s="1"/>
  <c r="M54" i="9"/>
  <c r="T54" i="9" s="1"/>
  <c r="U54" i="9" s="1"/>
  <c r="X54" i="9" s="1"/>
  <c r="M63" i="9"/>
  <c r="M79" i="9"/>
  <c r="M83" i="9"/>
  <c r="M88" i="9"/>
  <c r="M90" i="9"/>
  <c r="M93" i="9"/>
  <c r="T93" i="9" s="1"/>
  <c r="U93" i="9" s="1"/>
  <c r="X93" i="9" s="1"/>
  <c r="K91" i="9"/>
  <c r="K94" i="9"/>
  <c r="U55" i="9" l="1"/>
  <c r="X55" i="9" s="1"/>
  <c r="U45" i="9"/>
  <c r="X45" i="9" s="1"/>
  <c r="U32" i="9"/>
  <c r="X32" i="9" s="1"/>
  <c r="T90" i="9"/>
  <c r="U90" i="9" s="1"/>
  <c r="X90" i="9" s="1"/>
  <c r="T63" i="9"/>
  <c r="U63" i="9" s="1"/>
  <c r="X63" i="9" s="1"/>
  <c r="U36" i="9"/>
  <c r="X36" i="9" s="1"/>
  <c r="U73" i="9"/>
  <c r="X73" i="9" s="1"/>
  <c r="U19" i="9"/>
  <c r="X19" i="9" s="1"/>
  <c r="T88" i="9"/>
  <c r="U88" i="9" s="1"/>
  <c r="X88" i="9" s="1"/>
  <c r="U43" i="9"/>
  <c r="X43" i="9" s="1"/>
  <c r="U30" i="9"/>
  <c r="X30" i="9" s="1"/>
  <c r="U61" i="9"/>
  <c r="X61" i="9" s="1"/>
  <c r="U91" i="9"/>
  <c r="X91" i="9" s="1"/>
  <c r="T83" i="9"/>
  <c r="U83" i="9" s="1"/>
  <c r="X83" i="9" s="1"/>
  <c r="U17" i="9"/>
  <c r="X17" i="9" s="1"/>
  <c r="U49" i="9"/>
  <c r="X49" i="9" s="1"/>
  <c r="U71" i="9"/>
  <c r="X71" i="9" s="1"/>
  <c r="U94" i="9"/>
  <c r="X94" i="9" s="1"/>
  <c r="T79" i="9"/>
  <c r="U79" i="9" s="1"/>
  <c r="X79" i="9" s="1"/>
  <c r="U15" i="9"/>
  <c r="X15" i="9" s="1"/>
  <c r="T49" i="9"/>
  <c r="U69" i="9"/>
  <c r="X69" i="9" s="1"/>
  <c r="U62" i="9"/>
  <c r="X62" i="9" s="1"/>
  <c r="U34" i="9"/>
  <c r="X34" i="9" s="1"/>
  <c r="L98" i="9"/>
  <c r="U59" i="9"/>
  <c r="X59" i="9" s="1"/>
  <c r="U35" i="9"/>
  <c r="X35" i="9" s="1"/>
  <c r="U37" i="9"/>
  <c r="X37" i="9" s="1"/>
  <c r="T96" i="9"/>
  <c r="U96" i="9" s="1"/>
  <c r="X96" i="9" s="1"/>
  <c r="T60" i="9"/>
  <c r="U60" i="9" s="1"/>
  <c r="X60" i="9" s="1"/>
  <c r="U33" i="9"/>
  <c r="X33" i="9" s="1"/>
  <c r="T95" i="9"/>
  <c r="U95" i="9" s="1"/>
  <c r="X95" i="9" s="1"/>
  <c r="M98" i="9"/>
  <c r="T81" i="9"/>
  <c r="U81" i="9" s="1"/>
  <c r="X81" i="9" s="1"/>
  <c r="T68" i="9"/>
  <c r="U68" i="9" s="1"/>
  <c r="X68" i="9" s="1"/>
  <c r="K98" i="9"/>
  <c r="U18" i="9"/>
  <c r="X18" i="9" s="1"/>
  <c r="T53" i="9"/>
  <c r="U53" i="9" s="1"/>
  <c r="T52" i="9"/>
  <c r="U7" i="9"/>
  <c r="X7" i="9" s="1"/>
  <c r="X4" i="9"/>
  <c r="T98" i="9" l="1"/>
  <c r="U52" i="9"/>
  <c r="X52" i="9" s="1"/>
  <c r="X98" i="9" s="1"/>
  <c r="U98" i="9"/>
  <c r="C187" i="8" l="1"/>
  <c r="C167" i="8"/>
  <c r="C160" i="8"/>
  <c r="C162" i="8" s="1"/>
  <c r="W95" i="8"/>
  <c r="V95" i="8"/>
  <c r="R95" i="8"/>
  <c r="Q95" i="8"/>
  <c r="P95" i="8"/>
  <c r="O95" i="8"/>
  <c r="N95" i="8"/>
  <c r="I95" i="8"/>
  <c r="E95" i="8"/>
  <c r="T94" i="8"/>
  <c r="G94" i="8"/>
  <c r="K94" i="8" s="1"/>
  <c r="U94" i="8" s="1"/>
  <c r="X94" i="8" s="1"/>
  <c r="K93" i="8"/>
  <c r="G93" i="8"/>
  <c r="H92" i="8"/>
  <c r="G92" i="8"/>
  <c r="M92" i="8" s="1"/>
  <c r="G91" i="8"/>
  <c r="H90" i="8"/>
  <c r="G90" i="8"/>
  <c r="K90" i="8" s="1"/>
  <c r="T89" i="8"/>
  <c r="K89" i="8"/>
  <c r="G89" i="8"/>
  <c r="G88" i="8"/>
  <c r="M87" i="8"/>
  <c r="L87" i="8"/>
  <c r="G87" i="8"/>
  <c r="K87" i="8" s="1"/>
  <c r="T86" i="8"/>
  <c r="G86" i="8"/>
  <c r="K86" i="8" s="1"/>
  <c r="U86" i="8" s="1"/>
  <c r="X86" i="8" s="1"/>
  <c r="G85" i="8"/>
  <c r="K85" i="8" s="1"/>
  <c r="G84" i="8"/>
  <c r="M84" i="8" s="1"/>
  <c r="H83" i="8"/>
  <c r="K83" i="8" s="1"/>
  <c r="G83" i="8"/>
  <c r="M83" i="8" s="1"/>
  <c r="H82" i="8"/>
  <c r="G82" i="8"/>
  <c r="M82" i="8" s="1"/>
  <c r="L81" i="8"/>
  <c r="T81" i="8" s="1"/>
  <c r="G81" i="8"/>
  <c r="K81" i="8" s="1"/>
  <c r="G80" i="8"/>
  <c r="K80" i="8" s="1"/>
  <c r="S79" i="8"/>
  <c r="G79" i="8"/>
  <c r="M79" i="8" s="1"/>
  <c r="G78" i="8"/>
  <c r="M78" i="8" s="1"/>
  <c r="G77" i="8"/>
  <c r="T76" i="8"/>
  <c r="G76" i="8"/>
  <c r="J76" i="8" s="1"/>
  <c r="T75" i="8"/>
  <c r="G75" i="8"/>
  <c r="K75" i="8" s="1"/>
  <c r="U75" i="8" s="1"/>
  <c r="X75" i="8" s="1"/>
  <c r="T74" i="8"/>
  <c r="G74" i="8"/>
  <c r="K74" i="8" s="1"/>
  <c r="T73" i="8"/>
  <c r="G73" i="8"/>
  <c r="K73" i="8" s="1"/>
  <c r="G72" i="8"/>
  <c r="K72" i="8" s="1"/>
  <c r="T71" i="8"/>
  <c r="G71" i="8"/>
  <c r="K71" i="8" s="1"/>
  <c r="U71" i="8" s="1"/>
  <c r="X71" i="8" s="1"/>
  <c r="T70" i="8"/>
  <c r="G70" i="8"/>
  <c r="K70" i="8" s="1"/>
  <c r="G69" i="8"/>
  <c r="M69" i="8" s="1"/>
  <c r="T68" i="8"/>
  <c r="G68" i="8"/>
  <c r="K68" i="8" s="1"/>
  <c r="L67" i="8"/>
  <c r="G67" i="8"/>
  <c r="M67" i="8" s="1"/>
  <c r="T66" i="8"/>
  <c r="K66" i="8"/>
  <c r="U66" i="8" s="1"/>
  <c r="X66" i="8" s="1"/>
  <c r="G66" i="8"/>
  <c r="T65" i="8"/>
  <c r="G65" i="8"/>
  <c r="K65" i="8" s="1"/>
  <c r="M64" i="8"/>
  <c r="G64" i="8"/>
  <c r="L64" i="8" s="1"/>
  <c r="M63" i="8"/>
  <c r="L63" i="8"/>
  <c r="G63" i="8"/>
  <c r="K63" i="8" s="1"/>
  <c r="AA62" i="8"/>
  <c r="T62" i="8"/>
  <c r="G62" i="8"/>
  <c r="K62" i="8" s="1"/>
  <c r="M61" i="8"/>
  <c r="G61" i="8"/>
  <c r="K61" i="8" s="1"/>
  <c r="L60" i="8"/>
  <c r="T60" i="8" s="1"/>
  <c r="K60" i="8"/>
  <c r="U60" i="8" s="1"/>
  <c r="X60" i="8" s="1"/>
  <c r="G60" i="8"/>
  <c r="M60" i="8" s="1"/>
  <c r="AA59" i="8"/>
  <c r="L59" i="8"/>
  <c r="K59" i="8"/>
  <c r="G59" i="8"/>
  <c r="M59" i="8" s="1"/>
  <c r="H58" i="8"/>
  <c r="G58" i="8"/>
  <c r="M58" i="8" s="1"/>
  <c r="T57" i="8"/>
  <c r="G57" i="8"/>
  <c r="J57" i="8" s="1"/>
  <c r="K57" i="8" s="1"/>
  <c r="T56" i="8"/>
  <c r="G56" i="8"/>
  <c r="K56" i="8" s="1"/>
  <c r="T55" i="8"/>
  <c r="G55" i="8"/>
  <c r="J55" i="8" s="1"/>
  <c r="T54" i="8"/>
  <c r="G54" i="8"/>
  <c r="K54" i="8" s="1"/>
  <c r="M53" i="8"/>
  <c r="G53" i="8"/>
  <c r="K53" i="8" s="1"/>
  <c r="G52" i="8"/>
  <c r="H51" i="8"/>
  <c r="G51" i="8"/>
  <c r="L50" i="8"/>
  <c r="T50" i="8" s="1"/>
  <c r="G50" i="8"/>
  <c r="K50" i="8" s="1"/>
  <c r="G49" i="8"/>
  <c r="M49" i="8" s="1"/>
  <c r="G48" i="8"/>
  <c r="K48" i="8" s="1"/>
  <c r="G47" i="8"/>
  <c r="T46" i="8"/>
  <c r="G46" i="8"/>
  <c r="K46" i="8" s="1"/>
  <c r="H45" i="8"/>
  <c r="G45" i="8"/>
  <c r="G44" i="8"/>
  <c r="H43" i="8"/>
  <c r="G43" i="8"/>
  <c r="T42" i="8"/>
  <c r="G42" i="8"/>
  <c r="K42" i="8" s="1"/>
  <c r="U42" i="8" s="1"/>
  <c r="X42" i="8" s="1"/>
  <c r="T41" i="8"/>
  <c r="G41" i="8"/>
  <c r="J41" i="8" s="1"/>
  <c r="G40" i="8"/>
  <c r="M40" i="8" s="1"/>
  <c r="T39" i="8"/>
  <c r="G39" i="8"/>
  <c r="K39" i="8" s="1"/>
  <c r="T38" i="8"/>
  <c r="J38" i="8"/>
  <c r="K38" i="8" s="1"/>
  <c r="G38" i="8"/>
  <c r="G37" i="8"/>
  <c r="M37" i="8" s="1"/>
  <c r="G36" i="8"/>
  <c r="M36" i="8" s="1"/>
  <c r="G35" i="8"/>
  <c r="M35" i="8" s="1"/>
  <c r="G34" i="8"/>
  <c r="G33" i="8"/>
  <c r="K33" i="8" s="1"/>
  <c r="L32" i="8"/>
  <c r="K32" i="8"/>
  <c r="G32" i="8"/>
  <c r="M32" i="8" s="1"/>
  <c r="T31" i="8"/>
  <c r="G31" i="8"/>
  <c r="K31" i="8" s="1"/>
  <c r="M30" i="8"/>
  <c r="G30" i="8"/>
  <c r="L30" i="8" s="1"/>
  <c r="M29" i="8"/>
  <c r="L29" i="8"/>
  <c r="G29" i="8"/>
  <c r="K29" i="8" s="1"/>
  <c r="T28" i="8"/>
  <c r="K28" i="8"/>
  <c r="G28" i="8"/>
  <c r="G27" i="8"/>
  <c r="G26" i="8"/>
  <c r="L26" i="8" s="1"/>
  <c r="T25" i="8"/>
  <c r="G25" i="8"/>
  <c r="K25" i="8" s="1"/>
  <c r="T24" i="8"/>
  <c r="G24" i="8"/>
  <c r="K24" i="8" s="1"/>
  <c r="U24" i="8" s="1"/>
  <c r="X24" i="8" s="1"/>
  <c r="T23" i="8"/>
  <c r="G23" i="8"/>
  <c r="K23" i="8" s="1"/>
  <c r="U23" i="8" s="1"/>
  <c r="X23" i="8" s="1"/>
  <c r="G22" i="8"/>
  <c r="L22" i="8" s="1"/>
  <c r="M21" i="8"/>
  <c r="G21" i="8"/>
  <c r="K21" i="8" s="1"/>
  <c r="G20" i="8"/>
  <c r="M20" i="8" s="1"/>
  <c r="S19" i="8"/>
  <c r="S95" i="8" s="1"/>
  <c r="G19" i="8"/>
  <c r="M19" i="8" s="1"/>
  <c r="G18" i="8"/>
  <c r="G17" i="8"/>
  <c r="L17" i="8" s="1"/>
  <c r="T16" i="8"/>
  <c r="G16" i="8"/>
  <c r="K16" i="8" s="1"/>
  <c r="K15" i="8"/>
  <c r="G15" i="8"/>
  <c r="L15" i="8" s="1"/>
  <c r="G14" i="8"/>
  <c r="L14" i="8" s="1"/>
  <c r="G13" i="8"/>
  <c r="L13" i="8" s="1"/>
  <c r="T12" i="8"/>
  <c r="J12" i="8"/>
  <c r="G12" i="8"/>
  <c r="T11" i="8"/>
  <c r="G11" i="8"/>
  <c r="K11" i="8" s="1"/>
  <c r="M10" i="8"/>
  <c r="G10" i="8"/>
  <c r="L10" i="8" s="1"/>
  <c r="L9" i="8"/>
  <c r="G9" i="8"/>
  <c r="G8" i="8"/>
  <c r="M8" i="8" s="1"/>
  <c r="G7" i="8"/>
  <c r="G6" i="8"/>
  <c r="L6" i="8" s="1"/>
  <c r="M5" i="8"/>
  <c r="L5" i="8"/>
  <c r="T5" i="8" s="1"/>
  <c r="G5" i="8"/>
  <c r="M4" i="8"/>
  <c r="L4" i="8"/>
  <c r="K4" i="8"/>
  <c r="K8" i="8" l="1"/>
  <c r="M13" i="8"/>
  <c r="T13" i="8" s="1"/>
  <c r="M15" i="8"/>
  <c r="K20" i="8"/>
  <c r="U20" i="8" s="1"/>
  <c r="X20" i="8" s="1"/>
  <c r="L21" i="8"/>
  <c r="U38" i="8"/>
  <c r="X38" i="8" s="1"/>
  <c r="U54" i="8"/>
  <c r="X54" i="8" s="1"/>
  <c r="U56" i="8"/>
  <c r="X56" i="8" s="1"/>
  <c r="U62" i="8"/>
  <c r="X62" i="8" s="1"/>
  <c r="U65" i="8"/>
  <c r="X65" i="8" s="1"/>
  <c r="U39" i="8"/>
  <c r="X39" i="8" s="1"/>
  <c r="L20" i="8"/>
  <c r="T20" i="8" s="1"/>
  <c r="K84" i="8"/>
  <c r="L8" i="8"/>
  <c r="U28" i="8"/>
  <c r="X28" i="8" s="1"/>
  <c r="L53" i="8"/>
  <c r="L61" i="8"/>
  <c r="K67" i="8"/>
  <c r="L84" i="8"/>
  <c r="T84" i="8" s="1"/>
  <c r="U84" i="8" s="1"/>
  <c r="X84" i="8" s="1"/>
  <c r="U81" i="8"/>
  <c r="X81" i="8" s="1"/>
  <c r="U68" i="8"/>
  <c r="X68" i="8" s="1"/>
  <c r="T8" i="8"/>
  <c r="U8" i="8" s="1"/>
  <c r="X8" i="8" s="1"/>
  <c r="K17" i="8"/>
  <c r="K79" i="8"/>
  <c r="T4" i="8"/>
  <c r="U4" i="8" s="1"/>
  <c r="X4" i="8" s="1"/>
  <c r="K10" i="8"/>
  <c r="K13" i="8"/>
  <c r="U16" i="8"/>
  <c r="X16" i="8" s="1"/>
  <c r="M17" i="8"/>
  <c r="T17" i="8" s="1"/>
  <c r="L19" i="8"/>
  <c r="T19" i="8" s="1"/>
  <c r="K22" i="8"/>
  <c r="K26" i="8"/>
  <c r="T29" i="8"/>
  <c r="U29" i="8" s="1"/>
  <c r="X29" i="8" s="1"/>
  <c r="K30" i="8"/>
  <c r="U31" i="8"/>
  <c r="X31" i="8" s="1"/>
  <c r="K35" i="8"/>
  <c r="L36" i="8"/>
  <c r="T36" i="8" s="1"/>
  <c r="K40" i="8"/>
  <c r="K41" i="8"/>
  <c r="L49" i="8"/>
  <c r="T49" i="8" s="1"/>
  <c r="K55" i="8"/>
  <c r="K58" i="8"/>
  <c r="K64" i="8"/>
  <c r="K69" i="8"/>
  <c r="U70" i="8"/>
  <c r="X70" i="8" s="1"/>
  <c r="K76" i="8"/>
  <c r="K78" i="8"/>
  <c r="L79" i="8"/>
  <c r="T79" i="8" s="1"/>
  <c r="U79" i="8" s="1"/>
  <c r="X79" i="8" s="1"/>
  <c r="L80" i="8"/>
  <c r="K82" i="8"/>
  <c r="L85" i="8"/>
  <c r="T85" i="8" s="1"/>
  <c r="U85" i="8" s="1"/>
  <c r="X85" i="8" s="1"/>
  <c r="U50" i="8"/>
  <c r="X50" i="8" s="1"/>
  <c r="M6" i="8"/>
  <c r="K19" i="8"/>
  <c r="U19" i="8" s="1"/>
  <c r="X19" i="8" s="1"/>
  <c r="K36" i="8"/>
  <c r="K49" i="8"/>
  <c r="U49" i="8" s="1"/>
  <c r="X49" i="8" s="1"/>
  <c r="T21" i="8"/>
  <c r="U21" i="8" s="1"/>
  <c r="X21" i="8" s="1"/>
  <c r="M22" i="8"/>
  <c r="T22" i="8" s="1"/>
  <c r="U25" i="8"/>
  <c r="X25" i="8" s="1"/>
  <c r="M26" i="8"/>
  <c r="T26" i="8" s="1"/>
  <c r="L35" i="8"/>
  <c r="L40" i="8"/>
  <c r="T40" i="8" s="1"/>
  <c r="H95" i="8"/>
  <c r="U46" i="8"/>
  <c r="X46" i="8" s="1"/>
  <c r="U57" i="8"/>
  <c r="X57" i="8" s="1"/>
  <c r="T63" i="8"/>
  <c r="U63" i="8" s="1"/>
  <c r="X63" i="8" s="1"/>
  <c r="L69" i="8"/>
  <c r="T69" i="8" s="1"/>
  <c r="U69" i="8" s="1"/>
  <c r="X69" i="8" s="1"/>
  <c r="U74" i="8"/>
  <c r="X74" i="8" s="1"/>
  <c r="L78" i="8"/>
  <c r="M80" i="8"/>
  <c r="M85" i="8"/>
  <c r="U89" i="8"/>
  <c r="X89" i="8" s="1"/>
  <c r="M90" i="8"/>
  <c r="T6" i="8"/>
  <c r="K43" i="8"/>
  <c r="M43" i="8"/>
  <c r="L43" i="8"/>
  <c r="L45" i="8"/>
  <c r="K45" i="8"/>
  <c r="M45" i="8"/>
  <c r="L47" i="8"/>
  <c r="K47" i="8"/>
  <c r="M47" i="8"/>
  <c r="M52" i="8"/>
  <c r="L52" i="8"/>
  <c r="K52" i="8"/>
  <c r="L88" i="8"/>
  <c r="K88" i="8"/>
  <c r="M88" i="8"/>
  <c r="M27" i="8"/>
  <c r="L27" i="8"/>
  <c r="T27" i="8" s="1"/>
  <c r="K27" i="8"/>
  <c r="L51" i="8"/>
  <c r="K51" i="8"/>
  <c r="M51" i="8"/>
  <c r="G95" i="8"/>
  <c r="K5" i="8"/>
  <c r="L91" i="8"/>
  <c r="K91" i="8"/>
  <c r="M91" i="8"/>
  <c r="M7" i="8"/>
  <c r="K7" i="8"/>
  <c r="T15" i="8"/>
  <c r="U15" i="8" s="1"/>
  <c r="X15" i="8" s="1"/>
  <c r="K6" i="8"/>
  <c r="L7" i="8"/>
  <c r="T7" i="8" s="1"/>
  <c r="K9" i="8"/>
  <c r="M9" i="8"/>
  <c r="T9" i="8" s="1"/>
  <c r="T10" i="8"/>
  <c r="U10" i="8" s="1"/>
  <c r="X10" i="8" s="1"/>
  <c r="U11" i="8"/>
  <c r="X11" i="8" s="1"/>
  <c r="K12" i="8"/>
  <c r="U12" i="8" s="1"/>
  <c r="X12" i="8" s="1"/>
  <c r="J95" i="8"/>
  <c r="K14" i="8"/>
  <c r="M14" i="8"/>
  <c r="T14" i="8" s="1"/>
  <c r="M18" i="8"/>
  <c r="L18" i="8"/>
  <c r="T18" i="8" s="1"/>
  <c r="K18" i="8"/>
  <c r="T32" i="8"/>
  <c r="U32" i="8" s="1"/>
  <c r="X32" i="8" s="1"/>
  <c r="M34" i="8"/>
  <c r="L34" i="8"/>
  <c r="L44" i="8"/>
  <c r="K44" i="8"/>
  <c r="M77" i="8"/>
  <c r="L77" i="8"/>
  <c r="T87" i="8"/>
  <c r="U87" i="8" s="1"/>
  <c r="X87" i="8" s="1"/>
  <c r="L90" i="8"/>
  <c r="T90" i="8" s="1"/>
  <c r="U90" i="8" s="1"/>
  <c r="X90" i="8" s="1"/>
  <c r="L33" i="8"/>
  <c r="K34" i="8"/>
  <c r="U41" i="8"/>
  <c r="X41" i="8" s="1"/>
  <c r="M44" i="8"/>
  <c r="T53" i="8"/>
  <c r="U53" i="8" s="1"/>
  <c r="X53" i="8" s="1"/>
  <c r="T61" i="8"/>
  <c r="U61" i="8" s="1"/>
  <c r="X61" i="8" s="1"/>
  <c r="T64" i="8"/>
  <c r="U64" i="8" s="1"/>
  <c r="X64" i="8" s="1"/>
  <c r="M72" i="8"/>
  <c r="L72" i="8"/>
  <c r="K77" i="8"/>
  <c r="T80" i="8"/>
  <c r="U80" i="8" s="1"/>
  <c r="X80" i="8" s="1"/>
  <c r="T30" i="8"/>
  <c r="U30" i="8" s="1"/>
  <c r="X30" i="8" s="1"/>
  <c r="M33" i="8"/>
  <c r="T35" i="8"/>
  <c r="U36" i="8"/>
  <c r="X36" i="8" s="1"/>
  <c r="L37" i="8"/>
  <c r="T37" i="8" s="1"/>
  <c r="K37" i="8"/>
  <c r="M48" i="8"/>
  <c r="L48" i="8"/>
  <c r="T48" i="8" s="1"/>
  <c r="U48" i="8" s="1"/>
  <c r="X48" i="8" s="1"/>
  <c r="U55" i="8"/>
  <c r="X55" i="8" s="1"/>
  <c r="T59" i="8"/>
  <c r="U59" i="8" s="1"/>
  <c r="X59" i="8" s="1"/>
  <c r="T67" i="8"/>
  <c r="U67" i="8" s="1"/>
  <c r="X67" i="8" s="1"/>
  <c r="U73" i="8"/>
  <c r="X73" i="8" s="1"/>
  <c r="U76" i="8"/>
  <c r="X76" i="8" s="1"/>
  <c r="T78" i="8"/>
  <c r="L92" i="8"/>
  <c r="T92" i="8" s="1"/>
  <c r="K92" i="8"/>
  <c r="U92" i="8" s="1"/>
  <c r="X92" i="8" s="1"/>
  <c r="M93" i="8"/>
  <c r="L93" i="8"/>
  <c r="L58" i="8"/>
  <c r="T58" i="8" s="1"/>
  <c r="U58" i="8" s="1"/>
  <c r="X58" i="8" s="1"/>
  <c r="L82" i="8"/>
  <c r="T82" i="8" s="1"/>
  <c r="U82" i="8" s="1"/>
  <c r="X82" i="8" s="1"/>
  <c r="L83" i="8"/>
  <c r="T83" i="8" s="1"/>
  <c r="U83" i="8" s="1"/>
  <c r="X83" i="8" s="1"/>
  <c r="T51" i="8" l="1"/>
  <c r="U17" i="8"/>
  <c r="X17" i="8" s="1"/>
  <c r="U13" i="8"/>
  <c r="X13" i="8" s="1"/>
  <c r="T77" i="8"/>
  <c r="U77" i="8" s="1"/>
  <c r="X77" i="8" s="1"/>
  <c r="U27" i="8"/>
  <c r="X27" i="8" s="1"/>
  <c r="U26" i="8"/>
  <c r="X26" i="8" s="1"/>
  <c r="U22" i="8"/>
  <c r="X22" i="8" s="1"/>
  <c r="U35" i="8"/>
  <c r="X35" i="8" s="1"/>
  <c r="U9" i="8"/>
  <c r="X9" i="8" s="1"/>
  <c r="T45" i="8"/>
  <c r="U40" i="8"/>
  <c r="X40" i="8" s="1"/>
  <c r="T93" i="8"/>
  <c r="U93" i="8" s="1"/>
  <c r="X93" i="8" s="1"/>
  <c r="U78" i="8"/>
  <c r="X78" i="8" s="1"/>
  <c r="T34" i="8"/>
  <c r="U34" i="8" s="1"/>
  <c r="X34" i="8" s="1"/>
  <c r="U18" i="8"/>
  <c r="X18" i="8" s="1"/>
  <c r="M95" i="8"/>
  <c r="T88" i="8"/>
  <c r="T52" i="8"/>
  <c r="U52" i="8" s="1"/>
  <c r="T47" i="8"/>
  <c r="U47" i="8" s="1"/>
  <c r="X47" i="8" s="1"/>
  <c r="T43" i="8"/>
  <c r="U43" i="8" s="1"/>
  <c r="X43" i="8" s="1"/>
  <c r="U5" i="8"/>
  <c r="K95" i="8"/>
  <c r="U7" i="8"/>
  <c r="X7" i="8" s="1"/>
  <c r="U14" i="8"/>
  <c r="X14" i="8" s="1"/>
  <c r="U6" i="8"/>
  <c r="X6" i="8" s="1"/>
  <c r="U37" i="8"/>
  <c r="X37" i="8" s="1"/>
  <c r="T72" i="8"/>
  <c r="U72" i="8" s="1"/>
  <c r="X72" i="8" s="1"/>
  <c r="T33" i="8"/>
  <c r="U33" i="8" s="1"/>
  <c r="X33" i="8" s="1"/>
  <c r="T44" i="8"/>
  <c r="U44" i="8" s="1"/>
  <c r="X44" i="8" s="1"/>
  <c r="L95" i="8"/>
  <c r="T91" i="8"/>
  <c r="U91" i="8" s="1"/>
  <c r="X91" i="8" s="1"/>
  <c r="U51" i="8"/>
  <c r="X51" i="8" s="1"/>
  <c r="U88" i="8"/>
  <c r="X88" i="8" s="1"/>
  <c r="U45" i="8"/>
  <c r="X45" i="8" s="1"/>
  <c r="X5" i="8" l="1"/>
  <c r="X95" i="8" s="1"/>
  <c r="U95" i="8"/>
  <c r="T95" i="8"/>
  <c r="C189" i="7" l="1"/>
  <c r="C169" i="7"/>
  <c r="C162" i="7"/>
  <c r="C164" i="7" s="1"/>
  <c r="W97" i="7"/>
  <c r="V97" i="7"/>
  <c r="R97" i="7"/>
  <c r="Q97" i="7"/>
  <c r="P97" i="7"/>
  <c r="O97" i="7"/>
  <c r="N97" i="7"/>
  <c r="I97" i="7"/>
  <c r="E97" i="7"/>
  <c r="T96" i="7"/>
  <c r="G96" i="7"/>
  <c r="K96" i="7" s="1"/>
  <c r="U96" i="7" s="1"/>
  <c r="X96" i="7" s="1"/>
  <c r="G95" i="7"/>
  <c r="K95" i="7" s="1"/>
  <c r="H94" i="7"/>
  <c r="G94" i="7"/>
  <c r="M94" i="7" s="1"/>
  <c r="G93" i="7"/>
  <c r="H92" i="7"/>
  <c r="G92" i="7"/>
  <c r="K92" i="7" s="1"/>
  <c r="G91" i="7"/>
  <c r="K91" i="7" s="1"/>
  <c r="G90" i="7"/>
  <c r="M90" i="7" s="1"/>
  <c r="G89" i="7"/>
  <c r="T88" i="7"/>
  <c r="G88" i="7"/>
  <c r="K88" i="7" s="1"/>
  <c r="G87" i="7"/>
  <c r="K87" i="7" s="1"/>
  <c r="G86" i="7"/>
  <c r="M86" i="7" s="1"/>
  <c r="H85" i="7"/>
  <c r="G85" i="7"/>
  <c r="H84" i="7"/>
  <c r="G84" i="7"/>
  <c r="K84" i="7" s="1"/>
  <c r="T83" i="7"/>
  <c r="G83" i="7"/>
  <c r="K83" i="7" s="1"/>
  <c r="G82" i="7"/>
  <c r="M82" i="7" s="1"/>
  <c r="S81" i="7"/>
  <c r="G81" i="7"/>
  <c r="M81" i="7" s="1"/>
  <c r="G80" i="7"/>
  <c r="K80" i="7" s="1"/>
  <c r="G79" i="7"/>
  <c r="M79" i="7" s="1"/>
  <c r="T78" i="7"/>
  <c r="G78" i="7"/>
  <c r="J78" i="7" s="1"/>
  <c r="K78" i="7" s="1"/>
  <c r="U78" i="7" s="1"/>
  <c r="X78" i="7" s="1"/>
  <c r="T77" i="7"/>
  <c r="G77" i="7"/>
  <c r="K77" i="7" s="1"/>
  <c r="T76" i="7"/>
  <c r="K76" i="7"/>
  <c r="G76" i="7"/>
  <c r="T75" i="7"/>
  <c r="G75" i="7"/>
  <c r="K75" i="7" s="1"/>
  <c r="G74" i="7"/>
  <c r="M74" i="7" s="1"/>
  <c r="T73" i="7"/>
  <c r="G73" i="7"/>
  <c r="K73" i="7" s="1"/>
  <c r="U73" i="7" s="1"/>
  <c r="X73" i="7" s="1"/>
  <c r="T72" i="7"/>
  <c r="G72" i="7"/>
  <c r="K72" i="7" s="1"/>
  <c r="U72" i="7" s="1"/>
  <c r="X72" i="7" s="1"/>
  <c r="M71" i="7"/>
  <c r="G71" i="7"/>
  <c r="K71" i="7" s="1"/>
  <c r="T70" i="7"/>
  <c r="G70" i="7"/>
  <c r="K70" i="7" s="1"/>
  <c r="U70" i="7" s="1"/>
  <c r="X70" i="7" s="1"/>
  <c r="G69" i="7"/>
  <c r="K69" i="7" s="1"/>
  <c r="T68" i="7"/>
  <c r="G68" i="7"/>
  <c r="K68" i="7" s="1"/>
  <c r="U68" i="7" s="1"/>
  <c r="X68" i="7" s="1"/>
  <c r="T67" i="7"/>
  <c r="G67" i="7"/>
  <c r="K67" i="7" s="1"/>
  <c r="U67" i="7" s="1"/>
  <c r="X67" i="7" s="1"/>
  <c r="G66" i="7"/>
  <c r="M66" i="7" s="1"/>
  <c r="T65" i="7"/>
  <c r="K65" i="7"/>
  <c r="U65" i="7" s="1"/>
  <c r="X65" i="7" s="1"/>
  <c r="G65" i="7"/>
  <c r="G64" i="7"/>
  <c r="AA63" i="7"/>
  <c r="T63" i="7"/>
  <c r="G63" i="7"/>
  <c r="K63" i="7" s="1"/>
  <c r="G62" i="7"/>
  <c r="G61" i="7"/>
  <c r="G60" i="7"/>
  <c r="K60" i="7" s="1"/>
  <c r="AA59" i="7"/>
  <c r="G59" i="7"/>
  <c r="K59" i="7" s="1"/>
  <c r="H58" i="7"/>
  <c r="G58" i="7"/>
  <c r="M58" i="7" s="1"/>
  <c r="T57" i="7"/>
  <c r="G57" i="7"/>
  <c r="J57" i="7" s="1"/>
  <c r="K57" i="7" s="1"/>
  <c r="T56" i="7"/>
  <c r="G56" i="7"/>
  <c r="K56" i="7" s="1"/>
  <c r="T55" i="7"/>
  <c r="G55" i="7"/>
  <c r="J55" i="7" s="1"/>
  <c r="K55" i="7" s="1"/>
  <c r="T54" i="7"/>
  <c r="G54" i="7"/>
  <c r="K54" i="7" s="1"/>
  <c r="U54" i="7" s="1"/>
  <c r="X54" i="7" s="1"/>
  <c r="G53" i="7"/>
  <c r="H52" i="7"/>
  <c r="G52" i="7"/>
  <c r="K52" i="7" s="1"/>
  <c r="T51" i="7"/>
  <c r="G51" i="7"/>
  <c r="K51" i="7" s="1"/>
  <c r="U51" i="7" s="1"/>
  <c r="X51" i="7" s="1"/>
  <c r="G50" i="7"/>
  <c r="M49" i="7"/>
  <c r="G49" i="7"/>
  <c r="K49" i="7" s="1"/>
  <c r="G48" i="7"/>
  <c r="K48" i="7" s="1"/>
  <c r="G47" i="7"/>
  <c r="T46" i="7"/>
  <c r="G46" i="7"/>
  <c r="K46" i="7" s="1"/>
  <c r="L45" i="7"/>
  <c r="H45" i="7"/>
  <c r="G45" i="7"/>
  <c r="M45" i="7" s="1"/>
  <c r="G44" i="7"/>
  <c r="K44" i="7" s="1"/>
  <c r="H43" i="7"/>
  <c r="G43" i="7"/>
  <c r="T42" i="7"/>
  <c r="H42" i="7"/>
  <c r="G42" i="7"/>
  <c r="K42" i="7" s="1"/>
  <c r="T41" i="7"/>
  <c r="G41" i="7"/>
  <c r="J41" i="7" s="1"/>
  <c r="K41" i="7" s="1"/>
  <c r="U41" i="7" s="1"/>
  <c r="X41" i="7" s="1"/>
  <c r="G40" i="7"/>
  <c r="T39" i="7"/>
  <c r="G39" i="7"/>
  <c r="K39" i="7" s="1"/>
  <c r="T38" i="7"/>
  <c r="G38" i="7"/>
  <c r="J38" i="7" s="1"/>
  <c r="K38" i="7" s="1"/>
  <c r="G37" i="7"/>
  <c r="M37" i="7" s="1"/>
  <c r="G36" i="7"/>
  <c r="M36" i="7" s="1"/>
  <c r="M35" i="7"/>
  <c r="T35" i="7" s="1"/>
  <c r="G35" i="7"/>
  <c r="L35" i="7" s="1"/>
  <c r="G34" i="7"/>
  <c r="G33" i="7"/>
  <c r="L33" i="7" s="1"/>
  <c r="G32" i="7"/>
  <c r="K32" i="7" s="1"/>
  <c r="G31" i="7"/>
  <c r="L31" i="7" s="1"/>
  <c r="G30" i="7"/>
  <c r="T29" i="7"/>
  <c r="G29" i="7"/>
  <c r="J29" i="7" s="1"/>
  <c r="T28" i="7"/>
  <c r="G28" i="7"/>
  <c r="K28" i="7" s="1"/>
  <c r="U28" i="7" s="1"/>
  <c r="X28" i="7" s="1"/>
  <c r="L27" i="7"/>
  <c r="G27" i="7"/>
  <c r="K27" i="7" s="1"/>
  <c r="M26" i="7"/>
  <c r="G26" i="7"/>
  <c r="K26" i="7" s="1"/>
  <c r="T25" i="7"/>
  <c r="G25" i="7"/>
  <c r="K25" i="7" s="1"/>
  <c r="T24" i="7"/>
  <c r="G24" i="7"/>
  <c r="K24" i="7" s="1"/>
  <c r="U24" i="7" s="1"/>
  <c r="X24" i="7" s="1"/>
  <c r="T23" i="7"/>
  <c r="G23" i="7"/>
  <c r="K23" i="7" s="1"/>
  <c r="U23" i="7" s="1"/>
  <c r="X23" i="7" s="1"/>
  <c r="G22" i="7"/>
  <c r="M22" i="7" s="1"/>
  <c r="G21" i="7"/>
  <c r="L21" i="7" s="1"/>
  <c r="T21" i="7" s="1"/>
  <c r="G20" i="7"/>
  <c r="K20" i="7" s="1"/>
  <c r="S19" i="7"/>
  <c r="G19" i="7"/>
  <c r="K19" i="7" s="1"/>
  <c r="G18" i="7"/>
  <c r="G17" i="7"/>
  <c r="K17" i="7" s="1"/>
  <c r="T16" i="7"/>
  <c r="G16" i="7"/>
  <c r="K16" i="7" s="1"/>
  <c r="U16" i="7" s="1"/>
  <c r="X16" i="7" s="1"/>
  <c r="G15" i="7"/>
  <c r="K15" i="7" s="1"/>
  <c r="M14" i="7"/>
  <c r="G14" i="7"/>
  <c r="L14" i="7" s="1"/>
  <c r="K13" i="7"/>
  <c r="G13" i="7"/>
  <c r="T12" i="7"/>
  <c r="G12" i="7"/>
  <c r="J12" i="7" s="1"/>
  <c r="T11" i="7"/>
  <c r="G11" i="7"/>
  <c r="K11" i="7" s="1"/>
  <c r="L10" i="7"/>
  <c r="T10" i="7" s="1"/>
  <c r="G10" i="7"/>
  <c r="K10" i="7" s="1"/>
  <c r="G9" i="7"/>
  <c r="K9" i="7" s="1"/>
  <c r="G8" i="7"/>
  <c r="M8" i="7" s="1"/>
  <c r="G7" i="7"/>
  <c r="K7" i="7" s="1"/>
  <c r="G6" i="7"/>
  <c r="M6" i="7" s="1"/>
  <c r="G5" i="7"/>
  <c r="K5" i="7" s="1"/>
  <c r="G4" i="7"/>
  <c r="M4" i="7" s="1"/>
  <c r="U11" i="7" l="1"/>
  <c r="X11" i="7" s="1"/>
  <c r="M17" i="7"/>
  <c r="L26" i="7"/>
  <c r="T26" i="7" s="1"/>
  <c r="M27" i="7"/>
  <c r="M31" i="7"/>
  <c r="U46" i="7"/>
  <c r="X46" i="7" s="1"/>
  <c r="L48" i="7"/>
  <c r="K79" i="7"/>
  <c r="L80" i="7"/>
  <c r="M48" i="7"/>
  <c r="M52" i="7"/>
  <c r="L79" i="7"/>
  <c r="T79" i="7" s="1"/>
  <c r="M80" i="7"/>
  <c r="U10" i="7"/>
  <c r="X10" i="7" s="1"/>
  <c r="T14" i="7"/>
  <c r="K21" i="7"/>
  <c r="U21" i="7" s="1"/>
  <c r="X21" i="7" s="1"/>
  <c r="U25" i="7"/>
  <c r="X25" i="7" s="1"/>
  <c r="K45" i="7"/>
  <c r="U57" i="7"/>
  <c r="X57" i="7" s="1"/>
  <c r="L71" i="7"/>
  <c r="K85" i="7"/>
  <c r="U26" i="7"/>
  <c r="X26" i="7" s="1"/>
  <c r="T27" i="7"/>
  <c r="T31" i="7"/>
  <c r="L7" i="7"/>
  <c r="K12" i="7"/>
  <c r="U12" i="7" s="1"/>
  <c r="X12" i="7" s="1"/>
  <c r="M33" i="7"/>
  <c r="K37" i="7"/>
  <c r="L6" i="7"/>
  <c r="T6" i="7" s="1"/>
  <c r="M7" i="7"/>
  <c r="K14" i="7"/>
  <c r="U14" i="7" s="1"/>
  <c r="X14" i="7" s="1"/>
  <c r="L15" i="7"/>
  <c r="K29" i="7"/>
  <c r="U29" i="7" s="1"/>
  <c r="X29" i="7" s="1"/>
  <c r="K31" i="7"/>
  <c r="U31" i="7" s="1"/>
  <c r="X31" i="7" s="1"/>
  <c r="L32" i="7"/>
  <c r="K36" i="7"/>
  <c r="L37" i="7"/>
  <c r="T37" i="7" s="1"/>
  <c r="U55" i="7"/>
  <c r="X55" i="7" s="1"/>
  <c r="K58" i="7"/>
  <c r="M59" i="7"/>
  <c r="M60" i="7"/>
  <c r="L69" i="7"/>
  <c r="L74" i="7"/>
  <c r="T74" i="7" s="1"/>
  <c r="U75" i="7"/>
  <c r="X75" i="7" s="1"/>
  <c r="U77" i="7"/>
  <c r="X77" i="7" s="1"/>
  <c r="L85" i="7"/>
  <c r="L90" i="7"/>
  <c r="T90" i="7" s="1"/>
  <c r="L91" i="7"/>
  <c r="L92" i="7"/>
  <c r="T33" i="7"/>
  <c r="S97" i="7"/>
  <c r="K6" i="7"/>
  <c r="H97" i="7"/>
  <c r="L59" i="7"/>
  <c r="L60" i="7"/>
  <c r="T60" i="7" s="1"/>
  <c r="U60" i="7" s="1"/>
  <c r="X60" i="7" s="1"/>
  <c r="K74" i="7"/>
  <c r="U74" i="7" s="1"/>
  <c r="X74" i="7" s="1"/>
  <c r="K90" i="7"/>
  <c r="U90" i="7" s="1"/>
  <c r="X90" i="7" s="1"/>
  <c r="M15" i="7"/>
  <c r="L17" i="7"/>
  <c r="T17" i="7" s="1"/>
  <c r="U17" i="7" s="1"/>
  <c r="X17" i="7" s="1"/>
  <c r="M32" i="7"/>
  <c r="L36" i="7"/>
  <c r="T36" i="7" s="1"/>
  <c r="U39" i="7"/>
  <c r="X39" i="7" s="1"/>
  <c r="T45" i="7"/>
  <c r="L49" i="7"/>
  <c r="T49" i="7" s="1"/>
  <c r="U49" i="7" s="1"/>
  <c r="X49" i="7" s="1"/>
  <c r="L52" i="7"/>
  <c r="T52" i="7" s="1"/>
  <c r="U52" i="7" s="1"/>
  <c r="X52" i="7" s="1"/>
  <c r="L58" i="7"/>
  <c r="T58" i="7" s="1"/>
  <c r="U63" i="7"/>
  <c r="X63" i="7" s="1"/>
  <c r="M69" i="7"/>
  <c r="U83" i="7"/>
  <c r="X83" i="7" s="1"/>
  <c r="M84" i="7"/>
  <c r="M85" i="7"/>
  <c r="M91" i="7"/>
  <c r="M92" i="7"/>
  <c r="L18" i="7"/>
  <c r="K18" i="7"/>
  <c r="M62" i="7"/>
  <c r="L62" i="7"/>
  <c r="T62" i="7" s="1"/>
  <c r="K62" i="7"/>
  <c r="M30" i="7"/>
  <c r="L30" i="7"/>
  <c r="K30" i="7"/>
  <c r="U45" i="7"/>
  <c r="X45" i="7" s="1"/>
  <c r="L64" i="7"/>
  <c r="K64" i="7"/>
  <c r="M64" i="7"/>
  <c r="M5" i="7"/>
  <c r="L5" i="7"/>
  <c r="M13" i="7"/>
  <c r="L13" i="7"/>
  <c r="T13" i="7" s="1"/>
  <c r="U13" i="7" s="1"/>
  <c r="X13" i="7" s="1"/>
  <c r="M34" i="7"/>
  <c r="L34" i="7"/>
  <c r="K34" i="7"/>
  <c r="U38" i="7"/>
  <c r="X38" i="7" s="1"/>
  <c r="L8" i="7"/>
  <c r="T8" i="7" s="1"/>
  <c r="K8" i="7"/>
  <c r="L93" i="7"/>
  <c r="K93" i="7"/>
  <c r="M93" i="7"/>
  <c r="M18" i="7"/>
  <c r="G97" i="7"/>
  <c r="L4" i="7"/>
  <c r="T4" i="7" s="1"/>
  <c r="K4" i="7"/>
  <c r="M9" i="7"/>
  <c r="L9" i="7"/>
  <c r="T9" i="7" s="1"/>
  <c r="U9" i="7" s="1"/>
  <c r="X9" i="7" s="1"/>
  <c r="J97" i="7"/>
  <c r="M19" i="7"/>
  <c r="L19" i="7"/>
  <c r="M20" i="7"/>
  <c r="L20" i="7"/>
  <c r="L22" i="7"/>
  <c r="T22" i="7" s="1"/>
  <c r="K22" i="7"/>
  <c r="U27" i="7"/>
  <c r="X27" i="7" s="1"/>
  <c r="U36" i="7"/>
  <c r="X36" i="7" s="1"/>
  <c r="L50" i="7"/>
  <c r="K50" i="7"/>
  <c r="M50" i="7"/>
  <c r="L53" i="7"/>
  <c r="K53" i="7"/>
  <c r="M53" i="7"/>
  <c r="L40" i="7"/>
  <c r="K40" i="7"/>
  <c r="L43" i="7"/>
  <c r="K43" i="7"/>
  <c r="L61" i="7"/>
  <c r="K61" i="7"/>
  <c r="M89" i="7"/>
  <c r="L89" i="7"/>
  <c r="K33" i="7"/>
  <c r="U33" i="7" s="1"/>
  <c r="X33" i="7" s="1"/>
  <c r="M40" i="7"/>
  <c r="M47" i="7"/>
  <c r="L47" i="7"/>
  <c r="T47" i="7" s="1"/>
  <c r="M61" i="7"/>
  <c r="L81" i="7"/>
  <c r="T81" i="7" s="1"/>
  <c r="K81" i="7"/>
  <c r="L82" i="7"/>
  <c r="T82" i="7" s="1"/>
  <c r="K82" i="7"/>
  <c r="U82" i="7" s="1"/>
  <c r="X82" i="7" s="1"/>
  <c r="M87" i="7"/>
  <c r="L87" i="7"/>
  <c r="T87" i="7" s="1"/>
  <c r="U87" i="7" s="1"/>
  <c r="X87" i="7" s="1"/>
  <c r="K89" i="7"/>
  <c r="M44" i="7"/>
  <c r="L44" i="7"/>
  <c r="K35" i="7"/>
  <c r="U35" i="7" s="1"/>
  <c r="X35" i="7" s="1"/>
  <c r="U42" i="7"/>
  <c r="X42" i="7" s="1"/>
  <c r="M43" i="7"/>
  <c r="K47" i="7"/>
  <c r="U56" i="7"/>
  <c r="X56" i="7" s="1"/>
  <c r="L66" i="7"/>
  <c r="T66" i="7" s="1"/>
  <c r="K66" i="7"/>
  <c r="T69" i="7"/>
  <c r="U69" i="7" s="1"/>
  <c r="X69" i="7" s="1"/>
  <c r="T71" i="7"/>
  <c r="U71" i="7" s="1"/>
  <c r="X71" i="7" s="1"/>
  <c r="U76" i="7"/>
  <c r="X76" i="7" s="1"/>
  <c r="T80" i="7"/>
  <c r="U80" i="7" s="1"/>
  <c r="X80" i="7" s="1"/>
  <c r="L84" i="7"/>
  <c r="T84" i="7" s="1"/>
  <c r="U84" i="7" s="1"/>
  <c r="X84" i="7" s="1"/>
  <c r="L86" i="7"/>
  <c r="T86" i="7" s="1"/>
  <c r="K86" i="7"/>
  <c r="U88" i="7"/>
  <c r="X88" i="7" s="1"/>
  <c r="L94" i="7"/>
  <c r="T94" i="7" s="1"/>
  <c r="K94" i="7"/>
  <c r="M95" i="7"/>
  <c r="L95" i="7"/>
  <c r="T95" i="7" s="1"/>
  <c r="U95" i="7" s="1"/>
  <c r="X95" i="7" s="1"/>
  <c r="U79" i="7" l="1"/>
  <c r="X79" i="7" s="1"/>
  <c r="T48" i="7"/>
  <c r="U48" i="7" s="1"/>
  <c r="X48" i="7" s="1"/>
  <c r="T93" i="7"/>
  <c r="U93" i="7" s="1"/>
  <c r="X93" i="7" s="1"/>
  <c r="T91" i="7"/>
  <c r="U91" i="7" s="1"/>
  <c r="X91" i="7" s="1"/>
  <c r="T89" i="7"/>
  <c r="U89" i="7" s="1"/>
  <c r="X89" i="7" s="1"/>
  <c r="U58" i="7"/>
  <c r="X58" i="7" s="1"/>
  <c r="T61" i="7"/>
  <c r="T7" i="7"/>
  <c r="U7" i="7" s="1"/>
  <c r="X7" i="7" s="1"/>
  <c r="U22" i="7"/>
  <c r="X22" i="7" s="1"/>
  <c r="T19" i="7"/>
  <c r="U19" i="7" s="1"/>
  <c r="X19" i="7" s="1"/>
  <c r="T64" i="7"/>
  <c r="T85" i="7"/>
  <c r="U85" i="7" s="1"/>
  <c r="X85" i="7" s="1"/>
  <c r="T32" i="7"/>
  <c r="U32" i="7" s="1"/>
  <c r="X32" i="7" s="1"/>
  <c r="T15" i="7"/>
  <c r="U15" i="7" s="1"/>
  <c r="X15" i="7" s="1"/>
  <c r="U37" i="7"/>
  <c r="X37" i="7" s="1"/>
  <c r="T40" i="7"/>
  <c r="U40" i="7" s="1"/>
  <c r="X40" i="7" s="1"/>
  <c r="U62" i="7"/>
  <c r="X62" i="7" s="1"/>
  <c r="T18" i="7"/>
  <c r="U18" i="7" s="1"/>
  <c r="X18" i="7" s="1"/>
  <c r="T59" i="7"/>
  <c r="U59" i="7" s="1"/>
  <c r="X59" i="7" s="1"/>
  <c r="U6" i="7"/>
  <c r="X6" i="7" s="1"/>
  <c r="T92" i="7"/>
  <c r="U92" i="7" s="1"/>
  <c r="X92" i="7" s="1"/>
  <c r="M97" i="7"/>
  <c r="U94" i="7"/>
  <c r="X94" i="7" s="1"/>
  <c r="U66" i="7"/>
  <c r="X66" i="7" s="1"/>
  <c r="U47" i="7"/>
  <c r="X47" i="7" s="1"/>
  <c r="T44" i="7"/>
  <c r="U44" i="7" s="1"/>
  <c r="X44" i="7" s="1"/>
  <c r="U81" i="7"/>
  <c r="X81" i="7" s="1"/>
  <c r="T43" i="7"/>
  <c r="U43" i="7" s="1"/>
  <c r="X43" i="7" s="1"/>
  <c r="T50" i="7"/>
  <c r="U50" i="7" s="1"/>
  <c r="X50" i="7" s="1"/>
  <c r="K97" i="7"/>
  <c r="U86" i="7"/>
  <c r="X86" i="7" s="1"/>
  <c r="U61" i="7"/>
  <c r="X61" i="7" s="1"/>
  <c r="T53" i="7"/>
  <c r="U53" i="7" s="1"/>
  <c r="X53" i="7" s="1"/>
  <c r="T20" i="7"/>
  <c r="U20" i="7" s="1"/>
  <c r="X20" i="7" s="1"/>
  <c r="U4" i="7"/>
  <c r="U8" i="7"/>
  <c r="X8" i="7" s="1"/>
  <c r="T34" i="7"/>
  <c r="U34" i="7" s="1"/>
  <c r="X34" i="7" s="1"/>
  <c r="L97" i="7"/>
  <c r="T5" i="7"/>
  <c r="U64" i="7"/>
  <c r="X64" i="7" s="1"/>
  <c r="T30" i="7"/>
  <c r="U30" i="7" s="1"/>
  <c r="X30" i="7" s="1"/>
  <c r="T97" i="7" l="1"/>
  <c r="U5" i="7"/>
  <c r="X5" i="7" s="1"/>
  <c r="U97" i="7"/>
  <c r="X4" i="7"/>
  <c r="X97" i="7" l="1"/>
  <c r="C185" i="6" l="1"/>
  <c r="C165" i="6"/>
  <c r="C158" i="6"/>
  <c r="C160" i="6" s="1"/>
  <c r="W93" i="6"/>
  <c r="V93" i="6"/>
  <c r="R93" i="6"/>
  <c r="Q93" i="6"/>
  <c r="P93" i="6"/>
  <c r="N93" i="6"/>
  <c r="J93" i="6"/>
  <c r="I93" i="6"/>
  <c r="E93" i="6"/>
  <c r="T92" i="6"/>
  <c r="G92" i="6"/>
  <c r="K92" i="6" s="1"/>
  <c r="U92" i="6" s="1"/>
  <c r="X92" i="6" s="1"/>
  <c r="G91" i="6"/>
  <c r="T90" i="6"/>
  <c r="G90" i="6"/>
  <c r="K90" i="6" s="1"/>
  <c r="U90" i="6" s="1"/>
  <c r="X90" i="6" s="1"/>
  <c r="G89" i="6"/>
  <c r="T88" i="6"/>
  <c r="G88" i="6"/>
  <c r="K88" i="6" s="1"/>
  <c r="U88" i="6" s="1"/>
  <c r="X88" i="6" s="1"/>
  <c r="G87" i="6"/>
  <c r="G86" i="6"/>
  <c r="L86" i="6" s="1"/>
  <c r="T85" i="6"/>
  <c r="G85" i="6"/>
  <c r="K85" i="6" s="1"/>
  <c r="U85" i="6" s="1"/>
  <c r="X85" i="6" s="1"/>
  <c r="G84" i="6"/>
  <c r="L84" i="6" s="1"/>
  <c r="G83" i="6"/>
  <c r="K83" i="6" s="1"/>
  <c r="T82" i="6"/>
  <c r="G82" i="6"/>
  <c r="K82" i="6" s="1"/>
  <c r="T81" i="6"/>
  <c r="G81" i="6"/>
  <c r="K81" i="6" s="1"/>
  <c r="U81" i="6" s="1"/>
  <c r="X81" i="6" s="1"/>
  <c r="T80" i="6"/>
  <c r="K80" i="6"/>
  <c r="G80" i="6"/>
  <c r="G79" i="6"/>
  <c r="S78" i="6"/>
  <c r="G78" i="6"/>
  <c r="G77" i="6"/>
  <c r="L77" i="6" s="1"/>
  <c r="L76" i="6"/>
  <c r="G76" i="6"/>
  <c r="K76" i="6" s="1"/>
  <c r="L75" i="6"/>
  <c r="K75" i="6"/>
  <c r="G75" i="6"/>
  <c r="M75" i="6" s="1"/>
  <c r="T74" i="6"/>
  <c r="G74" i="6"/>
  <c r="K74" i="6" s="1"/>
  <c r="U74" i="6" s="1"/>
  <c r="X74" i="6" s="1"/>
  <c r="G73" i="6"/>
  <c r="G72" i="6"/>
  <c r="L72" i="6" s="1"/>
  <c r="G71" i="6"/>
  <c r="K71" i="6" s="1"/>
  <c r="O70" i="6"/>
  <c r="T70" i="6" s="1"/>
  <c r="G70" i="6"/>
  <c r="K70" i="6" s="1"/>
  <c r="T69" i="6"/>
  <c r="G69" i="6"/>
  <c r="K69" i="6" s="1"/>
  <c r="U69" i="6" s="1"/>
  <c r="X69" i="6" s="1"/>
  <c r="T68" i="6"/>
  <c r="G68" i="6"/>
  <c r="K68" i="6" s="1"/>
  <c r="G67" i="6"/>
  <c r="K67" i="6" s="1"/>
  <c r="T66" i="6"/>
  <c r="G66" i="6"/>
  <c r="K66" i="6" s="1"/>
  <c r="U66" i="6" s="1"/>
  <c r="X66" i="6" s="1"/>
  <c r="T65" i="6"/>
  <c r="G65" i="6"/>
  <c r="K65" i="6" s="1"/>
  <c r="U65" i="6" s="1"/>
  <c r="X65" i="6" s="1"/>
  <c r="T64" i="6"/>
  <c r="G64" i="6"/>
  <c r="K64" i="6" s="1"/>
  <c r="U64" i="6" s="1"/>
  <c r="X64" i="6" s="1"/>
  <c r="G63" i="6"/>
  <c r="L63" i="6" s="1"/>
  <c r="AA62" i="6"/>
  <c r="T62" i="6"/>
  <c r="G62" i="6"/>
  <c r="K62" i="6" s="1"/>
  <c r="G61" i="6"/>
  <c r="G60" i="6"/>
  <c r="L60" i="6" s="1"/>
  <c r="T59" i="6"/>
  <c r="G59" i="6"/>
  <c r="K59" i="6" s="1"/>
  <c r="U59" i="6" s="1"/>
  <c r="X59" i="6" s="1"/>
  <c r="AA58" i="6"/>
  <c r="G58" i="6"/>
  <c r="G57" i="6"/>
  <c r="L57" i="6" s="1"/>
  <c r="T56" i="6"/>
  <c r="G56" i="6"/>
  <c r="K56" i="6" s="1"/>
  <c r="G55" i="6"/>
  <c r="L55" i="6" s="1"/>
  <c r="T54" i="6"/>
  <c r="G54" i="6"/>
  <c r="K54" i="6" s="1"/>
  <c r="U54" i="6" s="1"/>
  <c r="X54" i="6" s="1"/>
  <c r="G53" i="6"/>
  <c r="L53" i="6" s="1"/>
  <c r="H52" i="6"/>
  <c r="H93" i="6" s="1"/>
  <c r="G52" i="6"/>
  <c r="K52" i="6" s="1"/>
  <c r="T51" i="6"/>
  <c r="G51" i="6"/>
  <c r="K51" i="6" s="1"/>
  <c r="U51" i="6" s="1"/>
  <c r="X51" i="6" s="1"/>
  <c r="G50" i="6"/>
  <c r="L50" i="6" s="1"/>
  <c r="G49" i="6"/>
  <c r="K49" i="6" s="1"/>
  <c r="G48" i="6"/>
  <c r="M48" i="6" s="1"/>
  <c r="G47" i="6"/>
  <c r="T46" i="6"/>
  <c r="G46" i="6"/>
  <c r="K46" i="6" s="1"/>
  <c r="T45" i="6"/>
  <c r="G45" i="6"/>
  <c r="K45" i="6" s="1"/>
  <c r="G44" i="6"/>
  <c r="K44" i="6" s="1"/>
  <c r="U44" i="6" s="1"/>
  <c r="X44" i="6" s="1"/>
  <c r="T43" i="6"/>
  <c r="G43" i="6"/>
  <c r="K43" i="6" s="1"/>
  <c r="U43" i="6" s="1"/>
  <c r="X43" i="6" s="1"/>
  <c r="T42" i="6"/>
  <c r="G42" i="6"/>
  <c r="K42" i="6" s="1"/>
  <c r="U42" i="6" s="1"/>
  <c r="X42" i="6" s="1"/>
  <c r="G41" i="6"/>
  <c r="L41" i="6" s="1"/>
  <c r="M40" i="6"/>
  <c r="G40" i="6"/>
  <c r="K40" i="6" s="1"/>
  <c r="T39" i="6"/>
  <c r="G39" i="6"/>
  <c r="K39" i="6" s="1"/>
  <c r="T38" i="6"/>
  <c r="G38" i="6"/>
  <c r="K38" i="6" s="1"/>
  <c r="G37" i="6"/>
  <c r="L37" i="6" s="1"/>
  <c r="G36" i="6"/>
  <c r="K36" i="6" s="1"/>
  <c r="G35" i="6"/>
  <c r="M35" i="6" s="1"/>
  <c r="G34" i="6"/>
  <c r="M34" i="6" s="1"/>
  <c r="G33" i="6"/>
  <c r="L33" i="6" s="1"/>
  <c r="G32" i="6"/>
  <c r="K32" i="6" s="1"/>
  <c r="M31" i="6"/>
  <c r="G31" i="6"/>
  <c r="L31" i="6" s="1"/>
  <c r="L30" i="6"/>
  <c r="T30" i="6" s="1"/>
  <c r="G30" i="6"/>
  <c r="M30" i="6" s="1"/>
  <c r="G29" i="6"/>
  <c r="L29" i="6" s="1"/>
  <c r="T28" i="6"/>
  <c r="G28" i="6"/>
  <c r="K28" i="6" s="1"/>
  <c r="U28" i="6" s="1"/>
  <c r="X28" i="6" s="1"/>
  <c r="G27" i="6"/>
  <c r="L27" i="6" s="1"/>
  <c r="G26" i="6"/>
  <c r="K26" i="6" s="1"/>
  <c r="T25" i="6"/>
  <c r="G25" i="6"/>
  <c r="K25" i="6" s="1"/>
  <c r="G24" i="6"/>
  <c r="K24" i="6" s="1"/>
  <c r="T23" i="6"/>
  <c r="G23" i="6"/>
  <c r="K23" i="6" s="1"/>
  <c r="L22" i="6"/>
  <c r="G22" i="6"/>
  <c r="K22" i="6" s="1"/>
  <c r="M21" i="6"/>
  <c r="G21" i="6"/>
  <c r="L21" i="6" s="1"/>
  <c r="S20" i="6"/>
  <c r="M20" i="6"/>
  <c r="K20" i="6"/>
  <c r="G20" i="6"/>
  <c r="L20" i="6" s="1"/>
  <c r="G19" i="6"/>
  <c r="M19" i="6" s="1"/>
  <c r="G18" i="6"/>
  <c r="L18" i="6" s="1"/>
  <c r="T17" i="6"/>
  <c r="G17" i="6"/>
  <c r="K17" i="6" s="1"/>
  <c r="G16" i="6"/>
  <c r="L16" i="6" s="1"/>
  <c r="G15" i="6"/>
  <c r="K15" i="6" s="1"/>
  <c r="T14" i="6"/>
  <c r="G14" i="6"/>
  <c r="K14" i="6" s="1"/>
  <c r="G13" i="6"/>
  <c r="K13" i="6" s="1"/>
  <c r="G12" i="6"/>
  <c r="K12" i="6" s="1"/>
  <c r="T11" i="6"/>
  <c r="G11" i="6"/>
  <c r="K11" i="6" s="1"/>
  <c r="T10" i="6"/>
  <c r="G10" i="6"/>
  <c r="K10" i="6" s="1"/>
  <c r="G9" i="6"/>
  <c r="L9" i="6" s="1"/>
  <c r="G8" i="6"/>
  <c r="M7" i="6"/>
  <c r="G7" i="6"/>
  <c r="L7" i="6" s="1"/>
  <c r="M6" i="6"/>
  <c r="G6" i="6"/>
  <c r="K6" i="6" s="1"/>
  <c r="M5" i="6"/>
  <c r="K5" i="6"/>
  <c r="G5" i="6"/>
  <c r="L5" i="6" s="1"/>
  <c r="G4" i="6"/>
  <c r="U10" i="6" l="1"/>
  <c r="X10" i="6" s="1"/>
  <c r="U17" i="6"/>
  <c r="X17" i="6" s="1"/>
  <c r="S93" i="6"/>
  <c r="L26" i="6"/>
  <c r="T31" i="6"/>
  <c r="U38" i="6"/>
  <c r="X38" i="6" s="1"/>
  <c r="U45" i="6"/>
  <c r="X45" i="6" s="1"/>
  <c r="M50" i="6"/>
  <c r="U62" i="6"/>
  <c r="X62" i="6" s="1"/>
  <c r="M63" i="6"/>
  <c r="L67" i="6"/>
  <c r="T67" i="6" s="1"/>
  <c r="U67" i="6" s="1"/>
  <c r="X67" i="6" s="1"/>
  <c r="T75" i="6"/>
  <c r="U75" i="6" s="1"/>
  <c r="X75" i="6" s="1"/>
  <c r="T20" i="6"/>
  <c r="T21" i="6"/>
  <c r="U21" i="6" s="1"/>
  <c r="X21" i="6" s="1"/>
  <c r="M26" i="6"/>
  <c r="M67" i="6"/>
  <c r="L71" i="6"/>
  <c r="K77" i="6"/>
  <c r="U77" i="6" s="1"/>
  <c r="X77" i="6" s="1"/>
  <c r="L6" i="6"/>
  <c r="T6" i="6" s="1"/>
  <c r="U11" i="6"/>
  <c r="X11" i="6" s="1"/>
  <c r="M13" i="6"/>
  <c r="L15" i="6"/>
  <c r="K21" i="6"/>
  <c r="U23" i="6"/>
  <c r="X23" i="6" s="1"/>
  <c r="U39" i="6"/>
  <c r="X39" i="6" s="1"/>
  <c r="U46" i="6"/>
  <c r="X46" i="6" s="1"/>
  <c r="M53" i="6"/>
  <c r="U56" i="6"/>
  <c r="X56" i="6" s="1"/>
  <c r="M60" i="6"/>
  <c r="U70" i="6"/>
  <c r="X70" i="6" s="1"/>
  <c r="U80" i="6"/>
  <c r="X80" i="6" s="1"/>
  <c r="U82" i="6"/>
  <c r="X82" i="6" s="1"/>
  <c r="M84" i="6"/>
  <c r="U20" i="6"/>
  <c r="X20" i="6" s="1"/>
  <c r="M9" i="6"/>
  <c r="T9" i="6" s="1"/>
  <c r="U9" i="6" s="1"/>
  <c r="X9" i="6" s="1"/>
  <c r="L13" i="6"/>
  <c r="T13" i="6" s="1"/>
  <c r="U13" i="6" s="1"/>
  <c r="X13" i="6" s="1"/>
  <c r="M16" i="6"/>
  <c r="T16" i="6" s="1"/>
  <c r="M18" i="6"/>
  <c r="U25" i="6"/>
  <c r="X25" i="6" s="1"/>
  <c r="K33" i="6"/>
  <c r="K35" i="6"/>
  <c r="K48" i="6"/>
  <c r="M55" i="6"/>
  <c r="T55" i="6" s="1"/>
  <c r="M57" i="6"/>
  <c r="L83" i="6"/>
  <c r="M86" i="6"/>
  <c r="T86" i="6" s="1"/>
  <c r="K31" i="6"/>
  <c r="U31" i="6" s="1"/>
  <c r="X31" i="6" s="1"/>
  <c r="M33" i="6"/>
  <c r="T33" i="6" s="1"/>
  <c r="L35" i="6"/>
  <c r="T35" i="6" s="1"/>
  <c r="U35" i="6" s="1"/>
  <c r="X35" i="6" s="1"/>
  <c r="L48" i="6"/>
  <c r="T48" i="6" s="1"/>
  <c r="L49" i="6"/>
  <c r="L52" i="6"/>
  <c r="T63" i="6"/>
  <c r="K72" i="6"/>
  <c r="U6" i="6"/>
  <c r="X6" i="6" s="1"/>
  <c r="T7" i="6"/>
  <c r="K9" i="6"/>
  <c r="U14" i="6"/>
  <c r="X14" i="6" s="1"/>
  <c r="M15" i="6"/>
  <c r="M22" i="6"/>
  <c r="T22" i="6" s="1"/>
  <c r="U22" i="6" s="1"/>
  <c r="X22" i="6" s="1"/>
  <c r="L24" i="6"/>
  <c r="M27" i="6"/>
  <c r="T27" i="6" s="1"/>
  <c r="M32" i="6"/>
  <c r="L40" i="6"/>
  <c r="T40" i="6" s="1"/>
  <c r="U40" i="6" s="1"/>
  <c r="X40" i="6" s="1"/>
  <c r="T50" i="6"/>
  <c r="T53" i="6"/>
  <c r="K60" i="6"/>
  <c r="K63" i="6"/>
  <c r="U63" i="6" s="1"/>
  <c r="X63" i="6" s="1"/>
  <c r="U68" i="6"/>
  <c r="X68" i="6" s="1"/>
  <c r="M72" i="6"/>
  <c r="T72" i="6" s="1"/>
  <c r="U72" i="6" s="1"/>
  <c r="X72" i="6" s="1"/>
  <c r="M77" i="6"/>
  <c r="K84" i="6"/>
  <c r="T18" i="6"/>
  <c r="M24" i="6"/>
  <c r="M8" i="6"/>
  <c r="L8" i="6"/>
  <c r="T8" i="6" s="1"/>
  <c r="K8" i="6"/>
  <c r="G93" i="6"/>
  <c r="M4" i="6"/>
  <c r="K4" i="6"/>
  <c r="L4" i="6"/>
  <c r="M79" i="6"/>
  <c r="L79" i="6"/>
  <c r="K79" i="6"/>
  <c r="K19" i="6"/>
  <c r="K34" i="6"/>
  <c r="L36" i="6"/>
  <c r="M91" i="6"/>
  <c r="L91" i="6"/>
  <c r="K91" i="6"/>
  <c r="K7" i="6"/>
  <c r="L12" i="6"/>
  <c r="T12" i="6" s="1"/>
  <c r="U12" i="6" s="1"/>
  <c r="X12" i="6" s="1"/>
  <c r="K16" i="6"/>
  <c r="K18" i="6"/>
  <c r="U18" i="6" s="1"/>
  <c r="X18" i="6" s="1"/>
  <c r="L19" i="6"/>
  <c r="T19" i="6" s="1"/>
  <c r="K27" i="6"/>
  <c r="K29" i="6"/>
  <c r="L34" i="6"/>
  <c r="T34" i="6" s="1"/>
  <c r="M36" i="6"/>
  <c r="K37" i="6"/>
  <c r="M41" i="6"/>
  <c r="T41" i="6" s="1"/>
  <c r="M47" i="6"/>
  <c r="L47" i="6"/>
  <c r="K47" i="6"/>
  <c r="M61" i="6"/>
  <c r="L61" i="6"/>
  <c r="T61" i="6" s="1"/>
  <c r="K61" i="6"/>
  <c r="M78" i="6"/>
  <c r="L78" i="6"/>
  <c r="K78" i="6"/>
  <c r="M89" i="6"/>
  <c r="L89" i="6"/>
  <c r="K89" i="6"/>
  <c r="K41" i="6"/>
  <c r="M58" i="6"/>
  <c r="L58" i="6"/>
  <c r="K58" i="6"/>
  <c r="T5" i="6"/>
  <c r="M29" i="6"/>
  <c r="T29" i="6" s="1"/>
  <c r="K30" i="6"/>
  <c r="U30" i="6" s="1"/>
  <c r="X30" i="6" s="1"/>
  <c r="L32" i="6"/>
  <c r="T32" i="6" s="1"/>
  <c r="U32" i="6" s="1"/>
  <c r="X32" i="6" s="1"/>
  <c r="M37" i="6"/>
  <c r="T37" i="6" s="1"/>
  <c r="T57" i="6"/>
  <c r="T60" i="6"/>
  <c r="U60" i="6" s="1"/>
  <c r="X60" i="6" s="1"/>
  <c r="L73" i="6"/>
  <c r="T73" i="6" s="1"/>
  <c r="K73" i="6"/>
  <c r="T77" i="6"/>
  <c r="T84" i="6"/>
  <c r="M87" i="6"/>
  <c r="L87" i="6"/>
  <c r="K87" i="6"/>
  <c r="M49" i="6"/>
  <c r="T49" i="6" s="1"/>
  <c r="U49" i="6" s="1"/>
  <c r="X49" i="6" s="1"/>
  <c r="M52" i="6"/>
  <c r="T52" i="6" s="1"/>
  <c r="U52" i="6" s="1"/>
  <c r="X52" i="6" s="1"/>
  <c r="M71" i="6"/>
  <c r="T71" i="6" s="1"/>
  <c r="U71" i="6" s="1"/>
  <c r="X71" i="6" s="1"/>
  <c r="M76" i="6"/>
  <c r="T76" i="6" s="1"/>
  <c r="U76" i="6" s="1"/>
  <c r="X76" i="6" s="1"/>
  <c r="M83" i="6"/>
  <c r="O93" i="6"/>
  <c r="K50" i="6"/>
  <c r="U50" i="6" s="1"/>
  <c r="X50" i="6" s="1"/>
  <c r="K53" i="6"/>
  <c r="K55" i="6"/>
  <c r="K57" i="6"/>
  <c r="U57" i="6" s="1"/>
  <c r="X57" i="6" s="1"/>
  <c r="K86" i="6"/>
  <c r="T83" i="6" l="1"/>
  <c r="U83" i="6" s="1"/>
  <c r="X83" i="6" s="1"/>
  <c r="U84" i="6"/>
  <c r="X84" i="6" s="1"/>
  <c r="T15" i="6"/>
  <c r="U15" i="6" s="1"/>
  <c r="X15" i="6" s="1"/>
  <c r="U7" i="6"/>
  <c r="X7" i="6" s="1"/>
  <c r="T26" i="6"/>
  <c r="U26" i="6" s="1"/>
  <c r="X26" i="6" s="1"/>
  <c r="U86" i="6"/>
  <c r="X86" i="6" s="1"/>
  <c r="T47" i="6"/>
  <c r="T24" i="6"/>
  <c r="U24" i="6" s="1"/>
  <c r="X24" i="6" s="1"/>
  <c r="U48" i="6"/>
  <c r="X48" i="6" s="1"/>
  <c r="U55" i="6"/>
  <c r="X55" i="6" s="1"/>
  <c r="U27" i="6"/>
  <c r="X27" i="6" s="1"/>
  <c r="U53" i="6"/>
  <c r="X53" i="6" s="1"/>
  <c r="T78" i="6"/>
  <c r="U16" i="6"/>
  <c r="X16" i="6" s="1"/>
  <c r="T4" i="6"/>
  <c r="U8" i="6"/>
  <c r="X8" i="6" s="1"/>
  <c r="U33" i="6"/>
  <c r="X33" i="6" s="1"/>
  <c r="K93" i="6"/>
  <c r="M93" i="6"/>
  <c r="T58" i="6"/>
  <c r="U58" i="6" s="1"/>
  <c r="X58" i="6" s="1"/>
  <c r="U34" i="6"/>
  <c r="X34" i="6" s="1"/>
  <c r="L93" i="6"/>
  <c r="U5" i="6"/>
  <c r="X5" i="6" s="1"/>
  <c r="U41" i="6"/>
  <c r="X41" i="6" s="1"/>
  <c r="T36" i="6"/>
  <c r="U36" i="6" s="1"/>
  <c r="X36" i="6" s="1"/>
  <c r="U4" i="6"/>
  <c r="T87" i="6"/>
  <c r="U87" i="6" s="1"/>
  <c r="X87" i="6" s="1"/>
  <c r="U73" i="6"/>
  <c r="X73" i="6" s="1"/>
  <c r="T89" i="6"/>
  <c r="U89" i="6" s="1"/>
  <c r="X89" i="6" s="1"/>
  <c r="U78" i="6"/>
  <c r="X78" i="6" s="1"/>
  <c r="U61" i="6"/>
  <c r="X61" i="6" s="1"/>
  <c r="U47" i="6"/>
  <c r="X47" i="6" s="1"/>
  <c r="U37" i="6"/>
  <c r="X37" i="6" s="1"/>
  <c r="U29" i="6"/>
  <c r="X29" i="6" s="1"/>
  <c r="T91" i="6"/>
  <c r="U91" i="6" s="1"/>
  <c r="X91" i="6" s="1"/>
  <c r="U19" i="6"/>
  <c r="X19" i="6" s="1"/>
  <c r="T79" i="6"/>
  <c r="U79" i="6" s="1"/>
  <c r="X79" i="6" s="1"/>
  <c r="U93" i="6" l="1"/>
  <c r="X4" i="6"/>
  <c r="X93" i="6" s="1"/>
  <c r="T93" i="6"/>
  <c r="C186" i="5" l="1"/>
  <c r="C166" i="5"/>
  <c r="C161" i="5"/>
  <c r="C159" i="5"/>
  <c r="W94" i="5"/>
  <c r="V94" i="5"/>
  <c r="R94" i="5"/>
  <c r="Q94" i="5"/>
  <c r="P94" i="5"/>
  <c r="O94" i="5"/>
  <c r="N94" i="5"/>
  <c r="I94" i="5"/>
  <c r="E94" i="5"/>
  <c r="T93" i="5"/>
  <c r="G93" i="5"/>
  <c r="K93" i="5" s="1"/>
  <c r="U93" i="5" s="1"/>
  <c r="X93" i="5" s="1"/>
  <c r="G92" i="5"/>
  <c r="T91" i="5"/>
  <c r="G91" i="5"/>
  <c r="K91" i="5" s="1"/>
  <c r="G90" i="5"/>
  <c r="T89" i="5"/>
  <c r="G89" i="5"/>
  <c r="K89" i="5" s="1"/>
  <c r="G88" i="5"/>
  <c r="G87" i="5"/>
  <c r="K87" i="5" s="1"/>
  <c r="T86" i="5"/>
  <c r="G86" i="5"/>
  <c r="K86" i="5" s="1"/>
  <c r="U86" i="5" s="1"/>
  <c r="X86" i="5" s="1"/>
  <c r="M85" i="5"/>
  <c r="L85" i="5"/>
  <c r="G85" i="5"/>
  <c r="K85" i="5" s="1"/>
  <c r="G84" i="5"/>
  <c r="M84" i="5" s="1"/>
  <c r="T83" i="5"/>
  <c r="G83" i="5"/>
  <c r="K83" i="5" s="1"/>
  <c r="L82" i="5"/>
  <c r="G82" i="5"/>
  <c r="K82" i="5" s="1"/>
  <c r="T81" i="5"/>
  <c r="G81" i="5"/>
  <c r="K81" i="5" s="1"/>
  <c r="T80" i="5"/>
  <c r="G80" i="5"/>
  <c r="K80" i="5" s="1"/>
  <c r="U80" i="5" s="1"/>
  <c r="X80" i="5" s="1"/>
  <c r="L79" i="5"/>
  <c r="G79" i="5"/>
  <c r="K79" i="5" s="1"/>
  <c r="S78" i="5"/>
  <c r="L78" i="5"/>
  <c r="G78" i="5"/>
  <c r="K78" i="5" s="1"/>
  <c r="M77" i="5"/>
  <c r="K77" i="5"/>
  <c r="G77" i="5"/>
  <c r="L77" i="5" s="1"/>
  <c r="L76" i="5"/>
  <c r="J76" i="5"/>
  <c r="J94" i="5" s="1"/>
  <c r="G76" i="5"/>
  <c r="M76" i="5" s="1"/>
  <c r="K75" i="5"/>
  <c r="G75" i="5"/>
  <c r="M75" i="5" s="1"/>
  <c r="T74" i="5"/>
  <c r="G74" i="5"/>
  <c r="K74" i="5" s="1"/>
  <c r="K73" i="5"/>
  <c r="G73" i="5"/>
  <c r="M73" i="5" s="1"/>
  <c r="G72" i="5"/>
  <c r="M71" i="5"/>
  <c r="L71" i="5"/>
  <c r="G71" i="5"/>
  <c r="K71" i="5" s="1"/>
  <c r="T70" i="5"/>
  <c r="G70" i="5"/>
  <c r="K70" i="5" s="1"/>
  <c r="T69" i="5"/>
  <c r="G69" i="5"/>
  <c r="K69" i="5" s="1"/>
  <c r="T68" i="5"/>
  <c r="K68" i="5"/>
  <c r="G68" i="5"/>
  <c r="G67" i="5"/>
  <c r="M67" i="5" s="1"/>
  <c r="T66" i="5"/>
  <c r="G66" i="5"/>
  <c r="K66" i="5" s="1"/>
  <c r="U66" i="5" s="1"/>
  <c r="X66" i="5" s="1"/>
  <c r="T65" i="5"/>
  <c r="G65" i="5"/>
  <c r="K65" i="5" s="1"/>
  <c r="T64" i="5"/>
  <c r="K64" i="5"/>
  <c r="G64" i="5"/>
  <c r="G63" i="5"/>
  <c r="AA62" i="5"/>
  <c r="T62" i="5"/>
  <c r="G62" i="5"/>
  <c r="K62" i="5" s="1"/>
  <c r="G61" i="5"/>
  <c r="M61" i="5" s="1"/>
  <c r="G60" i="5"/>
  <c r="T59" i="5"/>
  <c r="G59" i="5"/>
  <c r="K59" i="5" s="1"/>
  <c r="U59" i="5" s="1"/>
  <c r="X59" i="5" s="1"/>
  <c r="AA58" i="5"/>
  <c r="G58" i="5"/>
  <c r="M58" i="5" s="1"/>
  <c r="G57" i="5"/>
  <c r="T56" i="5"/>
  <c r="G56" i="5"/>
  <c r="K56" i="5" s="1"/>
  <c r="G55" i="5"/>
  <c r="T54" i="5"/>
  <c r="G54" i="5"/>
  <c r="K54" i="5" s="1"/>
  <c r="U54" i="5" s="1"/>
  <c r="X54" i="5" s="1"/>
  <c r="G53" i="5"/>
  <c r="T52" i="5"/>
  <c r="G52" i="5"/>
  <c r="K52" i="5" s="1"/>
  <c r="G51" i="5"/>
  <c r="G50" i="5"/>
  <c r="K50" i="5" s="1"/>
  <c r="K49" i="5"/>
  <c r="G49" i="5"/>
  <c r="M49" i="5" s="1"/>
  <c r="K48" i="5"/>
  <c r="G48" i="5"/>
  <c r="M48" i="5" s="1"/>
  <c r="G47" i="5"/>
  <c r="T46" i="5"/>
  <c r="K46" i="5"/>
  <c r="G46" i="5"/>
  <c r="K45" i="5"/>
  <c r="U45" i="5" s="1"/>
  <c r="X45" i="5" s="1"/>
  <c r="G45" i="5"/>
  <c r="T44" i="5"/>
  <c r="G44" i="5"/>
  <c r="K44" i="5" s="1"/>
  <c r="T43" i="5"/>
  <c r="G43" i="5"/>
  <c r="K43" i="5" s="1"/>
  <c r="L42" i="5"/>
  <c r="G42" i="5"/>
  <c r="M42" i="5" s="1"/>
  <c r="G41" i="5"/>
  <c r="K41" i="5" s="1"/>
  <c r="T40" i="5"/>
  <c r="G40" i="5"/>
  <c r="K40" i="5" s="1"/>
  <c r="T39" i="5"/>
  <c r="G39" i="5"/>
  <c r="K39" i="5" s="1"/>
  <c r="G38" i="5"/>
  <c r="M38" i="5" s="1"/>
  <c r="G37" i="5"/>
  <c r="K37" i="5" s="1"/>
  <c r="K36" i="5"/>
  <c r="G36" i="5"/>
  <c r="L36" i="5" s="1"/>
  <c r="G35" i="5"/>
  <c r="K35" i="5" s="1"/>
  <c r="G34" i="5"/>
  <c r="M34" i="5" s="1"/>
  <c r="G33" i="5"/>
  <c r="M33" i="5" s="1"/>
  <c r="G32" i="5"/>
  <c r="L32" i="5" s="1"/>
  <c r="G31" i="5"/>
  <c r="K31" i="5" s="1"/>
  <c r="M30" i="5"/>
  <c r="G30" i="5"/>
  <c r="L30" i="5" s="1"/>
  <c r="T29" i="5"/>
  <c r="G29" i="5"/>
  <c r="K29" i="5" s="1"/>
  <c r="M28" i="5"/>
  <c r="G28" i="5"/>
  <c r="L28" i="5" s="1"/>
  <c r="G27" i="5"/>
  <c r="M27" i="5" s="1"/>
  <c r="G26" i="5"/>
  <c r="M26" i="5" s="1"/>
  <c r="T25" i="5"/>
  <c r="G25" i="5"/>
  <c r="K25" i="5" s="1"/>
  <c r="K24" i="5"/>
  <c r="G24" i="5"/>
  <c r="M24" i="5" s="1"/>
  <c r="T23" i="5"/>
  <c r="G23" i="5"/>
  <c r="K23" i="5" s="1"/>
  <c r="G22" i="5"/>
  <c r="M22" i="5" s="1"/>
  <c r="G21" i="5"/>
  <c r="M21" i="5" s="1"/>
  <c r="S20" i="5"/>
  <c r="G20" i="5"/>
  <c r="M20" i="5" s="1"/>
  <c r="M19" i="5"/>
  <c r="G19" i="5"/>
  <c r="L19" i="5" s="1"/>
  <c r="G18" i="5"/>
  <c r="M18" i="5" s="1"/>
  <c r="G17" i="5"/>
  <c r="M17" i="5" s="1"/>
  <c r="T16" i="5"/>
  <c r="G16" i="5"/>
  <c r="K16" i="5" s="1"/>
  <c r="K15" i="5"/>
  <c r="G15" i="5"/>
  <c r="M15" i="5" s="1"/>
  <c r="G14" i="5"/>
  <c r="M14" i="5" s="1"/>
  <c r="T13" i="5"/>
  <c r="K13" i="5"/>
  <c r="G13" i="5"/>
  <c r="T12" i="5"/>
  <c r="G12" i="5"/>
  <c r="K12" i="5" s="1"/>
  <c r="T11" i="5"/>
  <c r="G11" i="5"/>
  <c r="K11" i="5" s="1"/>
  <c r="U11" i="5" s="1"/>
  <c r="X11" i="5" s="1"/>
  <c r="G10" i="5"/>
  <c r="M10" i="5" s="1"/>
  <c r="K9" i="5"/>
  <c r="G9" i="5"/>
  <c r="M9" i="5" s="1"/>
  <c r="G8" i="5"/>
  <c r="M8" i="5" s="1"/>
  <c r="L7" i="5"/>
  <c r="G7" i="5"/>
  <c r="K7" i="5" s="1"/>
  <c r="L6" i="5"/>
  <c r="G6" i="5"/>
  <c r="M6" i="5" s="1"/>
  <c r="G5" i="5"/>
  <c r="M5" i="5" s="1"/>
  <c r="G4" i="5"/>
  <c r="U12" i="5" l="1"/>
  <c r="X12" i="5" s="1"/>
  <c r="U23" i="5"/>
  <c r="X23" i="5" s="1"/>
  <c r="K18" i="5"/>
  <c r="K22" i="5"/>
  <c r="K27" i="5"/>
  <c r="U29" i="5"/>
  <c r="X29" i="5" s="1"/>
  <c r="K34" i="5"/>
  <c r="U52" i="5"/>
  <c r="X52" i="5" s="1"/>
  <c r="K61" i="5"/>
  <c r="K76" i="5"/>
  <c r="M78" i="5"/>
  <c r="M79" i="5"/>
  <c r="M82" i="5"/>
  <c r="L18" i="5"/>
  <c r="L27" i="5"/>
  <c r="L34" i="5"/>
  <c r="K6" i="5"/>
  <c r="M7" i="5"/>
  <c r="L15" i="5"/>
  <c r="T15" i="5" s="1"/>
  <c r="K17" i="5"/>
  <c r="L24" i="5"/>
  <c r="T24" i="5" s="1"/>
  <c r="U24" i="5" s="1"/>
  <c r="X24" i="5" s="1"/>
  <c r="K26" i="5"/>
  <c r="M36" i="5"/>
  <c r="T36" i="5" s="1"/>
  <c r="K38" i="5"/>
  <c r="K42" i="5"/>
  <c r="U44" i="5"/>
  <c r="X44" i="5" s="1"/>
  <c r="U56" i="5"/>
  <c r="X56" i="5" s="1"/>
  <c r="H67" i="5"/>
  <c r="U70" i="5"/>
  <c r="X70" i="5" s="1"/>
  <c r="L87" i="5"/>
  <c r="M87" i="5"/>
  <c r="T6" i="5"/>
  <c r="T27" i="5"/>
  <c r="K5" i="5"/>
  <c r="K10" i="5"/>
  <c r="L17" i="5"/>
  <c r="S94" i="5"/>
  <c r="L22" i="5"/>
  <c r="T22" i="5" s="1"/>
  <c r="U22" i="5" s="1"/>
  <c r="X22" i="5" s="1"/>
  <c r="L26" i="5"/>
  <c r="L31" i="5"/>
  <c r="L38" i="5"/>
  <c r="T38" i="5" s="1"/>
  <c r="L49" i="5"/>
  <c r="T49" i="5" s="1"/>
  <c r="U49" i="5" s="1"/>
  <c r="X49" i="5" s="1"/>
  <c r="L50" i="5"/>
  <c r="K58" i="5"/>
  <c r="U65" i="5"/>
  <c r="X65" i="5" s="1"/>
  <c r="L67" i="5"/>
  <c r="T67" i="5" s="1"/>
  <c r="T76" i="5"/>
  <c r="U76" i="5" s="1"/>
  <c r="X76" i="5" s="1"/>
  <c r="K84" i="5"/>
  <c r="U38" i="5"/>
  <c r="X38" i="5" s="1"/>
  <c r="T42" i="5"/>
  <c r="L10" i="5"/>
  <c r="T10" i="5" s="1"/>
  <c r="U13" i="5"/>
  <c r="X13" i="5" s="1"/>
  <c r="U15" i="5"/>
  <c r="X15" i="5" s="1"/>
  <c r="U16" i="5"/>
  <c r="X16" i="5" s="1"/>
  <c r="T19" i="5"/>
  <c r="U25" i="5"/>
  <c r="X25" i="5" s="1"/>
  <c r="T28" i="5"/>
  <c r="T30" i="5"/>
  <c r="M31" i="5"/>
  <c r="U40" i="5"/>
  <c r="X40" i="5" s="1"/>
  <c r="U43" i="5"/>
  <c r="X43" i="5" s="1"/>
  <c r="U46" i="5"/>
  <c r="X46" i="5" s="1"/>
  <c r="M50" i="5"/>
  <c r="T50" i="5" s="1"/>
  <c r="U50" i="5" s="1"/>
  <c r="X50" i="5" s="1"/>
  <c r="U69" i="5"/>
  <c r="X69" i="5" s="1"/>
  <c r="T79" i="5"/>
  <c r="U83" i="5"/>
  <c r="X83" i="5" s="1"/>
  <c r="L84" i="5"/>
  <c r="T84" i="5" s="1"/>
  <c r="T18" i="5"/>
  <c r="U18" i="5" s="1"/>
  <c r="X18" i="5" s="1"/>
  <c r="G94" i="5"/>
  <c r="T7" i="5"/>
  <c r="U7" i="5" s="1"/>
  <c r="X7" i="5" s="1"/>
  <c r="T34" i="5"/>
  <c r="U34" i="5" s="1"/>
  <c r="X34" i="5" s="1"/>
  <c r="U39" i="5"/>
  <c r="X39" i="5" s="1"/>
  <c r="U42" i="5"/>
  <c r="X42" i="5" s="1"/>
  <c r="U64" i="5"/>
  <c r="X64" i="5" s="1"/>
  <c r="T77" i="5"/>
  <c r="U77" i="5" s="1"/>
  <c r="X77" i="5" s="1"/>
  <c r="U81" i="5"/>
  <c r="X81" i="5" s="1"/>
  <c r="T82" i="5"/>
  <c r="U82" i="5" s="1"/>
  <c r="X82" i="5" s="1"/>
  <c r="T87" i="5"/>
  <c r="U89" i="5"/>
  <c r="X89" i="5" s="1"/>
  <c r="U91" i="5"/>
  <c r="X91" i="5" s="1"/>
  <c r="U10" i="5"/>
  <c r="X10" i="5" s="1"/>
  <c r="T17" i="5"/>
  <c r="T26" i="5"/>
  <c r="U26" i="5" s="1"/>
  <c r="X26" i="5" s="1"/>
  <c r="U17" i="5"/>
  <c r="X17" i="5" s="1"/>
  <c r="U6" i="5"/>
  <c r="X6" i="5" s="1"/>
  <c r="U27" i="5"/>
  <c r="X27" i="5" s="1"/>
  <c r="M92" i="5"/>
  <c r="L92" i="5"/>
  <c r="K92" i="5"/>
  <c r="K8" i="5"/>
  <c r="L9" i="5"/>
  <c r="T9" i="5" s="1"/>
  <c r="U9" i="5" s="1"/>
  <c r="X9" i="5" s="1"/>
  <c r="K14" i="5"/>
  <c r="K20" i="5"/>
  <c r="K21" i="5"/>
  <c r="K32" i="5"/>
  <c r="M53" i="5"/>
  <c r="L53" i="5"/>
  <c r="T53" i="5" s="1"/>
  <c r="K53" i="5"/>
  <c r="M63" i="5"/>
  <c r="L63" i="5"/>
  <c r="K63" i="5"/>
  <c r="M72" i="5"/>
  <c r="L72" i="5"/>
  <c r="T72" i="5" s="1"/>
  <c r="K72" i="5"/>
  <c r="M51" i="5"/>
  <c r="L51" i="5"/>
  <c r="K51" i="5"/>
  <c r="M60" i="5"/>
  <c r="L60" i="5"/>
  <c r="K60" i="5"/>
  <c r="K4" i="5"/>
  <c r="L5" i="5"/>
  <c r="L4" i="5"/>
  <c r="L8" i="5"/>
  <c r="T8" i="5" s="1"/>
  <c r="L14" i="5"/>
  <c r="T14" i="5" s="1"/>
  <c r="K19" i="5"/>
  <c r="U19" i="5" s="1"/>
  <c r="X19" i="5" s="1"/>
  <c r="L20" i="5"/>
  <c r="T20" i="5" s="1"/>
  <c r="L21" i="5"/>
  <c r="T21" i="5" s="1"/>
  <c r="K28" i="5"/>
  <c r="U28" i="5" s="1"/>
  <c r="X28" i="5" s="1"/>
  <c r="K30" i="5"/>
  <c r="U30" i="5" s="1"/>
  <c r="X30" i="5" s="1"/>
  <c r="M32" i="5"/>
  <c r="T32" i="5" s="1"/>
  <c r="K33" i="5"/>
  <c r="L35" i="5"/>
  <c r="M37" i="5"/>
  <c r="L37" i="5"/>
  <c r="M41" i="5"/>
  <c r="L41" i="5"/>
  <c r="M55" i="5"/>
  <c r="L55" i="5"/>
  <c r="T55" i="5" s="1"/>
  <c r="K55" i="5"/>
  <c r="U62" i="5"/>
  <c r="X62" i="5" s="1"/>
  <c r="U68" i="5"/>
  <c r="X68" i="5" s="1"/>
  <c r="T85" i="5"/>
  <c r="U85" i="5" s="1"/>
  <c r="X85" i="5" s="1"/>
  <c r="M88" i="5"/>
  <c r="L88" i="5"/>
  <c r="K88" i="5"/>
  <c r="M4" i="5"/>
  <c r="L33" i="5"/>
  <c r="T33" i="5" s="1"/>
  <c r="M35" i="5"/>
  <c r="U36" i="5"/>
  <c r="X36" i="5" s="1"/>
  <c r="M47" i="5"/>
  <c r="L47" i="5"/>
  <c r="K47" i="5"/>
  <c r="M57" i="5"/>
  <c r="L57" i="5"/>
  <c r="K57" i="5"/>
  <c r="T71" i="5"/>
  <c r="U71" i="5" s="1"/>
  <c r="X71" i="5" s="1"/>
  <c r="U74" i="5"/>
  <c r="X74" i="5" s="1"/>
  <c r="T78" i="5"/>
  <c r="U78" i="5" s="1"/>
  <c r="X78" i="5" s="1"/>
  <c r="U79" i="5"/>
  <c r="X79" i="5" s="1"/>
  <c r="U87" i="5"/>
  <c r="X87" i="5" s="1"/>
  <c r="M90" i="5"/>
  <c r="L90" i="5"/>
  <c r="K90" i="5"/>
  <c r="L48" i="5"/>
  <c r="T48" i="5" s="1"/>
  <c r="U48" i="5" s="1"/>
  <c r="X48" i="5" s="1"/>
  <c r="L58" i="5"/>
  <c r="T58" i="5" s="1"/>
  <c r="U58" i="5" s="1"/>
  <c r="X58" i="5" s="1"/>
  <c r="L61" i="5"/>
  <c r="T61" i="5" s="1"/>
  <c r="U61" i="5" s="1"/>
  <c r="X61" i="5" s="1"/>
  <c r="L73" i="5"/>
  <c r="T73" i="5" s="1"/>
  <c r="U73" i="5" s="1"/>
  <c r="X73" i="5" s="1"/>
  <c r="L75" i="5"/>
  <c r="T75" i="5" s="1"/>
  <c r="U75" i="5" s="1"/>
  <c r="X75" i="5" s="1"/>
  <c r="T51" i="5" l="1"/>
  <c r="H94" i="5"/>
  <c r="K67" i="5"/>
  <c r="U67" i="5" s="1"/>
  <c r="X67" i="5" s="1"/>
  <c r="U84" i="5"/>
  <c r="X84" i="5" s="1"/>
  <c r="T31" i="5"/>
  <c r="U31" i="5" s="1"/>
  <c r="X31" i="5" s="1"/>
  <c r="T47" i="5"/>
  <c r="U47" i="5" s="1"/>
  <c r="X47" i="5" s="1"/>
  <c r="U32" i="5"/>
  <c r="X32" i="5" s="1"/>
  <c r="T90" i="5"/>
  <c r="U90" i="5" s="1"/>
  <c r="X90" i="5" s="1"/>
  <c r="T57" i="5"/>
  <c r="U57" i="5" s="1"/>
  <c r="X57" i="5" s="1"/>
  <c r="T88" i="5"/>
  <c r="U88" i="5" s="1"/>
  <c r="X88" i="5" s="1"/>
  <c r="U55" i="5"/>
  <c r="X55" i="5" s="1"/>
  <c r="T41" i="5"/>
  <c r="U41" i="5" s="1"/>
  <c r="X41" i="5" s="1"/>
  <c r="T35" i="5"/>
  <c r="U35" i="5" s="1"/>
  <c r="X35" i="5" s="1"/>
  <c r="U51" i="5"/>
  <c r="X51" i="5" s="1"/>
  <c r="U72" i="5"/>
  <c r="X72" i="5" s="1"/>
  <c r="T63" i="5"/>
  <c r="U21" i="5"/>
  <c r="X21" i="5" s="1"/>
  <c r="U8" i="5"/>
  <c r="X8" i="5" s="1"/>
  <c r="M94" i="5"/>
  <c r="L94" i="5"/>
  <c r="T5" i="5"/>
  <c r="U63" i="5"/>
  <c r="X63" i="5" s="1"/>
  <c r="U33" i="5"/>
  <c r="X33" i="5" s="1"/>
  <c r="U20" i="5"/>
  <c r="X20" i="5" s="1"/>
  <c r="K94" i="5"/>
  <c r="T37" i="5"/>
  <c r="U37" i="5" s="1"/>
  <c r="X37" i="5" s="1"/>
  <c r="T4" i="5"/>
  <c r="U4" i="5" s="1"/>
  <c r="T60" i="5"/>
  <c r="U60" i="5" s="1"/>
  <c r="X60" i="5" s="1"/>
  <c r="U53" i="5"/>
  <c r="X53" i="5" s="1"/>
  <c r="U14" i="5"/>
  <c r="X14" i="5" s="1"/>
  <c r="T92" i="5"/>
  <c r="U92" i="5" s="1"/>
  <c r="X92" i="5" s="1"/>
  <c r="X4" i="5" l="1"/>
  <c r="T94" i="5"/>
  <c r="U5" i="5"/>
  <c r="X5" i="5" s="1"/>
  <c r="X94" i="5" l="1"/>
  <c r="U94" i="5"/>
  <c r="C184" i="4" l="1"/>
  <c r="C164" i="4"/>
  <c r="C159" i="4"/>
  <c r="C157" i="4"/>
  <c r="X92" i="4"/>
  <c r="W92" i="4"/>
  <c r="R92" i="4"/>
  <c r="Q92" i="4"/>
  <c r="P92" i="4"/>
  <c r="O92" i="4"/>
  <c r="N92" i="4"/>
  <c r="J92" i="4"/>
  <c r="I92" i="4"/>
  <c r="E92" i="4"/>
  <c r="U91" i="4"/>
  <c r="G91" i="4"/>
  <c r="K91" i="4" s="1"/>
  <c r="G90" i="4"/>
  <c r="U89" i="4"/>
  <c r="K89" i="4"/>
  <c r="G89" i="4"/>
  <c r="G88" i="4"/>
  <c r="U87" i="4"/>
  <c r="K87" i="4"/>
  <c r="G87" i="4"/>
  <c r="G86" i="4"/>
  <c r="G85" i="4"/>
  <c r="L85" i="4" s="1"/>
  <c r="U84" i="4"/>
  <c r="G84" i="4"/>
  <c r="K84" i="4" s="1"/>
  <c r="G83" i="4"/>
  <c r="L83" i="4" s="1"/>
  <c r="G82" i="4"/>
  <c r="K82" i="4" s="1"/>
  <c r="G81" i="4"/>
  <c r="K81" i="4" s="1"/>
  <c r="V81" i="4" s="1"/>
  <c r="G80" i="4"/>
  <c r="U79" i="4"/>
  <c r="G79" i="4"/>
  <c r="K79" i="4" s="1"/>
  <c r="V79" i="4" s="1"/>
  <c r="Y79" i="4" s="1"/>
  <c r="U78" i="4"/>
  <c r="G78" i="4"/>
  <c r="K78" i="4" s="1"/>
  <c r="G77" i="4"/>
  <c r="L77" i="4" s="1"/>
  <c r="S76" i="4"/>
  <c r="G76" i="4"/>
  <c r="L76" i="4" s="1"/>
  <c r="G75" i="4"/>
  <c r="G74" i="4"/>
  <c r="L74" i="4" s="1"/>
  <c r="G73" i="4"/>
  <c r="K73" i="4" s="1"/>
  <c r="U72" i="4"/>
  <c r="G72" i="4"/>
  <c r="K72" i="4" s="1"/>
  <c r="V72" i="4" s="1"/>
  <c r="Y72" i="4" s="1"/>
  <c r="L71" i="4"/>
  <c r="G71" i="4"/>
  <c r="K71" i="4" s="1"/>
  <c r="H70" i="4"/>
  <c r="H92" i="4" s="1"/>
  <c r="G70" i="4"/>
  <c r="M70" i="4" s="1"/>
  <c r="G69" i="4"/>
  <c r="L69" i="4" s="1"/>
  <c r="U68" i="4"/>
  <c r="G68" i="4"/>
  <c r="K68" i="4" s="1"/>
  <c r="U67" i="4"/>
  <c r="K67" i="4"/>
  <c r="V67" i="4" s="1"/>
  <c r="Y67" i="4" s="1"/>
  <c r="G67" i="4"/>
  <c r="U66" i="4"/>
  <c r="G66" i="4"/>
  <c r="K66" i="4" s="1"/>
  <c r="K65" i="4"/>
  <c r="G65" i="4"/>
  <c r="M65" i="4" s="1"/>
  <c r="U64" i="4"/>
  <c r="G64" i="4"/>
  <c r="K64" i="4" s="1"/>
  <c r="U63" i="4"/>
  <c r="K63" i="4"/>
  <c r="G63" i="4"/>
  <c r="G62" i="4"/>
  <c r="M61" i="4"/>
  <c r="G61" i="4"/>
  <c r="K61" i="4" s="1"/>
  <c r="AB60" i="4"/>
  <c r="U60" i="4"/>
  <c r="G60" i="4"/>
  <c r="K60" i="4" s="1"/>
  <c r="G59" i="4"/>
  <c r="U58" i="4"/>
  <c r="G58" i="4"/>
  <c r="K58" i="4" s="1"/>
  <c r="AB57" i="4"/>
  <c r="G57" i="4"/>
  <c r="L57" i="4" s="1"/>
  <c r="G56" i="4"/>
  <c r="U55" i="4"/>
  <c r="G55" i="4"/>
  <c r="K55" i="4" s="1"/>
  <c r="G54" i="4"/>
  <c r="U53" i="4"/>
  <c r="G53" i="4"/>
  <c r="K53" i="4" s="1"/>
  <c r="G52" i="4"/>
  <c r="U51" i="4"/>
  <c r="G51" i="4"/>
  <c r="K51" i="4" s="1"/>
  <c r="G50" i="4"/>
  <c r="G49" i="4"/>
  <c r="L49" i="4" s="1"/>
  <c r="L48" i="4"/>
  <c r="G48" i="4"/>
  <c r="K48" i="4" s="1"/>
  <c r="U47" i="4"/>
  <c r="G47" i="4"/>
  <c r="K47" i="4" s="1"/>
  <c r="V47" i="4" s="1"/>
  <c r="Y47" i="4" s="1"/>
  <c r="G46" i="4"/>
  <c r="K46" i="4" s="1"/>
  <c r="V46" i="4" s="1"/>
  <c r="Y46" i="4" s="1"/>
  <c r="U45" i="4"/>
  <c r="G45" i="4"/>
  <c r="K45" i="4" s="1"/>
  <c r="U44" i="4"/>
  <c r="K44" i="4"/>
  <c r="G44" i="4"/>
  <c r="G43" i="4"/>
  <c r="K42" i="4"/>
  <c r="G42" i="4"/>
  <c r="L42" i="4" s="1"/>
  <c r="U41" i="4"/>
  <c r="G41" i="4"/>
  <c r="K41" i="4" s="1"/>
  <c r="G40" i="4"/>
  <c r="M39" i="4"/>
  <c r="G39" i="4"/>
  <c r="L39" i="4" s="1"/>
  <c r="G38" i="4"/>
  <c r="K38" i="4" s="1"/>
  <c r="K37" i="4"/>
  <c r="G37" i="4"/>
  <c r="M37" i="4" s="1"/>
  <c r="G36" i="4"/>
  <c r="K35" i="4"/>
  <c r="G35" i="4"/>
  <c r="L35" i="4" s="1"/>
  <c r="U34" i="4"/>
  <c r="G34" i="4"/>
  <c r="K34" i="4" s="1"/>
  <c r="V34" i="4" s="1"/>
  <c r="Y34" i="4" s="1"/>
  <c r="M33" i="4"/>
  <c r="K33" i="4"/>
  <c r="G33" i="4"/>
  <c r="L33" i="4" s="1"/>
  <c r="G32" i="4"/>
  <c r="M31" i="4"/>
  <c r="L31" i="4"/>
  <c r="G31" i="4"/>
  <c r="K31" i="4" s="1"/>
  <c r="G30" i="4"/>
  <c r="L30" i="4" s="1"/>
  <c r="M29" i="4"/>
  <c r="G29" i="4"/>
  <c r="L29" i="4" s="1"/>
  <c r="G28" i="4"/>
  <c r="K28" i="4" s="1"/>
  <c r="K27" i="4"/>
  <c r="G27" i="4"/>
  <c r="M27" i="4" s="1"/>
  <c r="G26" i="4"/>
  <c r="M26" i="4" s="1"/>
  <c r="M25" i="4"/>
  <c r="U25" i="4" s="1"/>
  <c r="K25" i="4"/>
  <c r="G25" i="4"/>
  <c r="L25" i="4" s="1"/>
  <c r="G24" i="4"/>
  <c r="K24" i="4" s="1"/>
  <c r="U23" i="4"/>
  <c r="G23" i="4"/>
  <c r="K23" i="4" s="1"/>
  <c r="G22" i="4"/>
  <c r="M22" i="4" s="1"/>
  <c r="G21" i="4"/>
  <c r="M21" i="4" s="1"/>
  <c r="T20" i="4"/>
  <c r="T92" i="4" s="1"/>
  <c r="G20" i="4"/>
  <c r="M20" i="4" s="1"/>
  <c r="G19" i="4"/>
  <c r="M19" i="4" s="1"/>
  <c r="M18" i="4"/>
  <c r="G18" i="4"/>
  <c r="K18" i="4" s="1"/>
  <c r="M17" i="4"/>
  <c r="L17" i="4"/>
  <c r="G17" i="4"/>
  <c r="K17" i="4" s="1"/>
  <c r="U16" i="4"/>
  <c r="G16" i="4"/>
  <c r="K16" i="4" s="1"/>
  <c r="K15" i="4"/>
  <c r="G15" i="4"/>
  <c r="M15" i="4" s="1"/>
  <c r="G14" i="4"/>
  <c r="M14" i="4" s="1"/>
  <c r="G13" i="4"/>
  <c r="M13" i="4" s="1"/>
  <c r="U12" i="4"/>
  <c r="G12" i="4"/>
  <c r="K12" i="4" s="1"/>
  <c r="U11" i="4"/>
  <c r="G11" i="4"/>
  <c r="K11" i="4" s="1"/>
  <c r="G10" i="4"/>
  <c r="M10" i="4" s="1"/>
  <c r="G9" i="4"/>
  <c r="M9" i="4" s="1"/>
  <c r="G8" i="4"/>
  <c r="K8" i="4" s="1"/>
  <c r="G7" i="4"/>
  <c r="M7" i="4" s="1"/>
  <c r="K6" i="4"/>
  <c r="G6" i="4"/>
  <c r="M6" i="4" s="1"/>
  <c r="G5" i="4"/>
  <c r="M5" i="4" s="1"/>
  <c r="M4" i="4"/>
  <c r="L4" i="4"/>
  <c r="G4" i="4"/>
  <c r="V12" i="4" l="1"/>
  <c r="Y12" i="4" s="1"/>
  <c r="L22" i="4"/>
  <c r="V44" i="4"/>
  <c r="Y44" i="4" s="1"/>
  <c r="M49" i="4"/>
  <c r="M57" i="4"/>
  <c r="L61" i="4"/>
  <c r="V91" i="4"/>
  <c r="Y91" i="4" s="1"/>
  <c r="L38" i="4"/>
  <c r="K74" i="4"/>
  <c r="K76" i="4"/>
  <c r="K77" i="4"/>
  <c r="M83" i="4"/>
  <c r="U83" i="4" s="1"/>
  <c r="M85" i="4"/>
  <c r="K20" i="4"/>
  <c r="K22" i="4"/>
  <c r="L28" i="4"/>
  <c r="K49" i="4"/>
  <c r="K57" i="4"/>
  <c r="M74" i="4"/>
  <c r="M76" i="4"/>
  <c r="U76" i="4" s="1"/>
  <c r="V76" i="4" s="1"/>
  <c r="Y76" i="4" s="1"/>
  <c r="M77" i="4"/>
  <c r="V84" i="4"/>
  <c r="Y84" i="4" s="1"/>
  <c r="K7" i="4"/>
  <c r="L8" i="4"/>
  <c r="K10" i="4"/>
  <c r="L15" i="4"/>
  <c r="U15" i="4" s="1"/>
  <c r="K21" i="4"/>
  <c r="M24" i="4"/>
  <c r="L27" i="4"/>
  <c r="U29" i="4"/>
  <c r="M35" i="4"/>
  <c r="U35" i="4" s="1"/>
  <c r="V35" i="4" s="1"/>
  <c r="Y35" i="4" s="1"/>
  <c r="L37" i="4"/>
  <c r="U37" i="4" s="1"/>
  <c r="V37" i="4" s="1"/>
  <c r="Y37" i="4" s="1"/>
  <c r="U39" i="4"/>
  <c r="V41" i="4"/>
  <c r="Y41" i="4" s="1"/>
  <c r="M42" i="4"/>
  <c r="U42" i="4" s="1"/>
  <c r="V42" i="4" s="1"/>
  <c r="Y42" i="4" s="1"/>
  <c r="U49" i="4"/>
  <c r="V49" i="4" s="1"/>
  <c r="Y49" i="4" s="1"/>
  <c r="U57" i="4"/>
  <c r="V64" i="4"/>
  <c r="Y64" i="4" s="1"/>
  <c r="L65" i="4"/>
  <c r="U65" i="4" s="1"/>
  <c r="V65" i="4" s="1"/>
  <c r="Y65" i="4" s="1"/>
  <c r="K69" i="4"/>
  <c r="K70" i="4"/>
  <c r="L73" i="4"/>
  <c r="L7" i="4"/>
  <c r="U7" i="4" s="1"/>
  <c r="M8" i="4"/>
  <c r="K14" i="4"/>
  <c r="L18" i="4"/>
  <c r="U18" i="4" s="1"/>
  <c r="V18" i="4" s="1"/>
  <c r="Y18" i="4" s="1"/>
  <c r="V23" i="4"/>
  <c r="Y23" i="4" s="1"/>
  <c r="K26" i="4"/>
  <c r="K29" i="4"/>
  <c r="U33" i="4"/>
  <c r="V33" i="4" s="1"/>
  <c r="Y33" i="4" s="1"/>
  <c r="K39" i="4"/>
  <c r="V39" i="4" s="1"/>
  <c r="Y39" i="4" s="1"/>
  <c r="V45" i="4"/>
  <c r="Y45" i="4" s="1"/>
  <c r="V51" i="4"/>
  <c r="Y51" i="4" s="1"/>
  <c r="V53" i="4"/>
  <c r="Y53" i="4" s="1"/>
  <c r="V55" i="4"/>
  <c r="Y55" i="4" s="1"/>
  <c r="V57" i="4"/>
  <c r="Y57" i="4" s="1"/>
  <c r="V58" i="4"/>
  <c r="Y58" i="4" s="1"/>
  <c r="V60" i="4"/>
  <c r="Y60" i="4" s="1"/>
  <c r="V68" i="4"/>
  <c r="Y68" i="4" s="1"/>
  <c r="M69" i="4"/>
  <c r="U69" i="4" s="1"/>
  <c r="U77" i="4"/>
  <c r="V77" i="4" s="1"/>
  <c r="Y77" i="4" s="1"/>
  <c r="L82" i="4"/>
  <c r="V15" i="4"/>
  <c r="Y15" i="4" s="1"/>
  <c r="U22" i="4"/>
  <c r="U4" i="4"/>
  <c r="V11" i="4"/>
  <c r="Y11" i="4" s="1"/>
  <c r="V16" i="4"/>
  <c r="Y16" i="4" s="1"/>
  <c r="U17" i="4"/>
  <c r="V17" i="4" s="1"/>
  <c r="Y17" i="4" s="1"/>
  <c r="U61" i="4"/>
  <c r="V63" i="4"/>
  <c r="Y63" i="4" s="1"/>
  <c r="V66" i="4"/>
  <c r="Y66" i="4" s="1"/>
  <c r="U85" i="4"/>
  <c r="V87" i="4"/>
  <c r="Y87" i="4" s="1"/>
  <c r="V89" i="4"/>
  <c r="Y89" i="4" s="1"/>
  <c r="V25" i="4"/>
  <c r="Y25" i="4" s="1"/>
  <c r="M90" i="4"/>
  <c r="L90" i="4"/>
  <c r="K90" i="4"/>
  <c r="K5" i="4"/>
  <c r="L10" i="4"/>
  <c r="U10" i="4" s="1"/>
  <c r="V10" i="4" s="1"/>
  <c r="Y10" i="4" s="1"/>
  <c r="K13" i="4"/>
  <c r="L14" i="4"/>
  <c r="U14" i="4" s="1"/>
  <c r="V14" i="4" s="1"/>
  <c r="Y14" i="4" s="1"/>
  <c r="K19" i="4"/>
  <c r="L20" i="4"/>
  <c r="U20" i="4" s="1"/>
  <c r="V20" i="4" s="1"/>
  <c r="Y20" i="4" s="1"/>
  <c r="L21" i="4"/>
  <c r="U21" i="4" s="1"/>
  <c r="L26" i="4"/>
  <c r="U26" i="4" s="1"/>
  <c r="V26" i="4" s="1"/>
  <c r="Y26" i="4" s="1"/>
  <c r="M28" i="4"/>
  <c r="K32" i="4"/>
  <c r="M32" i="4"/>
  <c r="M36" i="4"/>
  <c r="L36" i="4"/>
  <c r="K36" i="4"/>
  <c r="M54" i="4"/>
  <c r="L54" i="4"/>
  <c r="K54" i="4"/>
  <c r="U74" i="4"/>
  <c r="M75" i="4"/>
  <c r="L75" i="4"/>
  <c r="K75" i="4"/>
  <c r="G92" i="4"/>
  <c r="L6" i="4"/>
  <c r="U6" i="4" s="1"/>
  <c r="V6" i="4" s="1"/>
  <c r="Y6" i="4" s="1"/>
  <c r="K9" i="4"/>
  <c r="K4" i="4"/>
  <c r="V4" i="4" s="1"/>
  <c r="L5" i="4"/>
  <c r="L9" i="4"/>
  <c r="U9" i="4" s="1"/>
  <c r="L13" i="4"/>
  <c r="U13" i="4" s="1"/>
  <c r="L19" i="4"/>
  <c r="U19" i="4" s="1"/>
  <c r="L24" i="4"/>
  <c r="U31" i="4"/>
  <c r="V31" i="4" s="1"/>
  <c r="Y31" i="4" s="1"/>
  <c r="L32" i="4"/>
  <c r="U32" i="4" s="1"/>
  <c r="M40" i="4"/>
  <c r="L40" i="4"/>
  <c r="K40" i="4"/>
  <c r="M43" i="4"/>
  <c r="L43" i="4"/>
  <c r="U43" i="4" s="1"/>
  <c r="K43" i="4"/>
  <c r="M56" i="4"/>
  <c r="L56" i="4"/>
  <c r="K56" i="4"/>
  <c r="M62" i="4"/>
  <c r="L62" i="4"/>
  <c r="K62" i="4"/>
  <c r="V74" i="4"/>
  <c r="Y74" i="4" s="1"/>
  <c r="M86" i="4"/>
  <c r="L86" i="4"/>
  <c r="K86" i="4"/>
  <c r="M30" i="4"/>
  <c r="U30" i="4" s="1"/>
  <c r="K30" i="4"/>
  <c r="M52" i="4"/>
  <c r="L52" i="4"/>
  <c r="K52" i="4"/>
  <c r="M59" i="4"/>
  <c r="L59" i="4"/>
  <c r="K59" i="4"/>
  <c r="M80" i="4"/>
  <c r="L80" i="4"/>
  <c r="K80" i="4"/>
  <c r="V22" i="4"/>
  <c r="Y22" i="4" s="1"/>
  <c r="U27" i="4"/>
  <c r="V27" i="4" s="1"/>
  <c r="Y27" i="4" s="1"/>
  <c r="M50" i="4"/>
  <c r="L50" i="4"/>
  <c r="K50" i="4"/>
  <c r="V61" i="4"/>
  <c r="Y61" i="4" s="1"/>
  <c r="V78" i="4"/>
  <c r="Y78" i="4" s="1"/>
  <c r="M88" i="4"/>
  <c r="L88" i="4"/>
  <c r="K88" i="4"/>
  <c r="M38" i="4"/>
  <c r="M48" i="4"/>
  <c r="U48" i="4" s="1"/>
  <c r="V48" i="4" s="1"/>
  <c r="Y48" i="4" s="1"/>
  <c r="L70" i="4"/>
  <c r="U70" i="4" s="1"/>
  <c r="V70" i="4" s="1"/>
  <c r="Y70" i="4" s="1"/>
  <c r="M71" i="4"/>
  <c r="U71" i="4" s="1"/>
  <c r="V71" i="4" s="1"/>
  <c r="Y71" i="4" s="1"/>
  <c r="M73" i="4"/>
  <c r="U73" i="4" s="1"/>
  <c r="V73" i="4" s="1"/>
  <c r="Y73" i="4" s="1"/>
  <c r="M82" i="4"/>
  <c r="U82" i="4" s="1"/>
  <c r="V82" i="4" s="1"/>
  <c r="Y82" i="4" s="1"/>
  <c r="K83" i="4"/>
  <c r="K85" i="4"/>
  <c r="V85" i="4" s="1"/>
  <c r="Y85" i="4" s="1"/>
  <c r="U24" i="4" l="1"/>
  <c r="V24" i="4" s="1"/>
  <c r="Y24" i="4" s="1"/>
  <c r="V7" i="4"/>
  <c r="Y7" i="4" s="1"/>
  <c r="U38" i="4"/>
  <c r="V38" i="4" s="1"/>
  <c r="Y38" i="4" s="1"/>
  <c r="V83" i="4"/>
  <c r="Y83" i="4" s="1"/>
  <c r="U52" i="4"/>
  <c r="U56" i="4"/>
  <c r="U28" i="4"/>
  <c r="V28" i="4" s="1"/>
  <c r="Y28" i="4" s="1"/>
  <c r="V29" i="4"/>
  <c r="Y29" i="4" s="1"/>
  <c r="U86" i="4"/>
  <c r="V21" i="4"/>
  <c r="Y21" i="4" s="1"/>
  <c r="U80" i="4"/>
  <c r="V80" i="4" s="1"/>
  <c r="Y80" i="4" s="1"/>
  <c r="V9" i="4"/>
  <c r="Y9" i="4" s="1"/>
  <c r="U75" i="4"/>
  <c r="V69" i="4"/>
  <c r="Y69" i="4" s="1"/>
  <c r="U8" i="4"/>
  <c r="V8" i="4" s="1"/>
  <c r="Y8" i="4" s="1"/>
  <c r="U88" i="4"/>
  <c r="V88" i="4" s="1"/>
  <c r="Y88" i="4" s="1"/>
  <c r="U59" i="4"/>
  <c r="V86" i="4"/>
  <c r="Y86" i="4" s="1"/>
  <c r="V56" i="4"/>
  <c r="Y56" i="4" s="1"/>
  <c r="V43" i="4"/>
  <c r="Y43" i="4" s="1"/>
  <c r="U40" i="4"/>
  <c r="V40" i="4" s="1"/>
  <c r="U54" i="4"/>
  <c r="V54" i="4" s="1"/>
  <c r="Y54" i="4" s="1"/>
  <c r="V19" i="4"/>
  <c r="Y19" i="4" s="1"/>
  <c r="K92" i="4"/>
  <c r="V59" i="4"/>
  <c r="Y59" i="4" s="1"/>
  <c r="L92" i="4"/>
  <c r="U5" i="4"/>
  <c r="M92" i="4"/>
  <c r="U50" i="4"/>
  <c r="V50" i="4" s="1"/>
  <c r="Y50" i="4" s="1"/>
  <c r="V52" i="4"/>
  <c r="Y52" i="4" s="1"/>
  <c r="V30" i="4"/>
  <c r="Y30" i="4" s="1"/>
  <c r="U62" i="4"/>
  <c r="V62" i="4" s="1"/>
  <c r="Y62" i="4" s="1"/>
  <c r="Y4" i="4"/>
  <c r="V75" i="4"/>
  <c r="Y75" i="4" s="1"/>
  <c r="U36" i="4"/>
  <c r="V36" i="4" s="1"/>
  <c r="Y36" i="4" s="1"/>
  <c r="V32" i="4"/>
  <c r="Y32" i="4" s="1"/>
  <c r="V13" i="4"/>
  <c r="Y13" i="4" s="1"/>
  <c r="U90" i="4"/>
  <c r="V90" i="4" s="1"/>
  <c r="Y90" i="4" s="1"/>
  <c r="Z40" i="4" l="1"/>
  <c r="Y40" i="4"/>
  <c r="U92" i="4"/>
  <c r="V5" i="4"/>
  <c r="Y5" i="4" l="1"/>
  <c r="Y92" i="4" s="1"/>
  <c r="V92" i="4"/>
  <c r="A183" i="3" l="1"/>
  <c r="A163" i="3"/>
  <c r="A156" i="3"/>
  <c r="A158" i="3" s="1"/>
  <c r="U91" i="3"/>
  <c r="T91" i="3"/>
  <c r="P91" i="3"/>
  <c r="O91" i="3"/>
  <c r="N91" i="3"/>
  <c r="M91" i="3"/>
  <c r="L91" i="3"/>
  <c r="H91" i="3"/>
  <c r="F91" i="3"/>
  <c r="C91" i="3"/>
  <c r="R90" i="3"/>
  <c r="I90" i="3"/>
  <c r="S90" i="3" s="1"/>
  <c r="V90" i="3" s="1"/>
  <c r="E90" i="3"/>
  <c r="I89" i="3"/>
  <c r="E89" i="3"/>
  <c r="R88" i="3"/>
  <c r="E88" i="3"/>
  <c r="I88" i="3" s="1"/>
  <c r="S88" i="3" s="1"/>
  <c r="V88" i="3" s="1"/>
  <c r="E87" i="3"/>
  <c r="R86" i="3"/>
  <c r="E86" i="3"/>
  <c r="I86" i="3" s="1"/>
  <c r="S86" i="3" s="1"/>
  <c r="V86" i="3" s="1"/>
  <c r="E85" i="3"/>
  <c r="E84" i="3"/>
  <c r="R83" i="3"/>
  <c r="E83" i="3"/>
  <c r="I83" i="3" s="1"/>
  <c r="S83" i="3" s="1"/>
  <c r="V83" i="3" s="1"/>
  <c r="E82" i="3"/>
  <c r="K82" i="3" s="1"/>
  <c r="K81" i="3"/>
  <c r="J81" i="3"/>
  <c r="R81" i="3" s="1"/>
  <c r="E81" i="3"/>
  <c r="I81" i="3" s="1"/>
  <c r="S80" i="3"/>
  <c r="V80" i="3" s="1"/>
  <c r="R80" i="3"/>
  <c r="E80" i="3"/>
  <c r="I80" i="3" s="1"/>
  <c r="R79" i="3"/>
  <c r="I79" i="3"/>
  <c r="S79" i="3" s="1"/>
  <c r="V79" i="3" s="1"/>
  <c r="E79" i="3"/>
  <c r="E78" i="3"/>
  <c r="Q77" i="3"/>
  <c r="E77" i="3"/>
  <c r="J76" i="3"/>
  <c r="E76" i="3"/>
  <c r="I76" i="3" s="1"/>
  <c r="K75" i="3"/>
  <c r="I75" i="3"/>
  <c r="E75" i="3"/>
  <c r="J75" i="3" s="1"/>
  <c r="R75" i="3" s="1"/>
  <c r="S75" i="3" s="1"/>
  <c r="V75" i="3" s="1"/>
  <c r="E74" i="3"/>
  <c r="R73" i="3"/>
  <c r="I73" i="3"/>
  <c r="S73" i="3" s="1"/>
  <c r="V73" i="3" s="1"/>
  <c r="E73" i="3"/>
  <c r="I72" i="3"/>
  <c r="E72" i="3"/>
  <c r="E71" i="3"/>
  <c r="R70" i="3"/>
  <c r="E70" i="3"/>
  <c r="I70" i="3" s="1"/>
  <c r="S70" i="3" s="1"/>
  <c r="V70" i="3" s="1"/>
  <c r="E69" i="3"/>
  <c r="R68" i="3"/>
  <c r="E68" i="3"/>
  <c r="I68" i="3" s="1"/>
  <c r="R67" i="3"/>
  <c r="E67" i="3"/>
  <c r="I67" i="3" s="1"/>
  <c r="E66" i="3"/>
  <c r="R65" i="3"/>
  <c r="E65" i="3"/>
  <c r="I65" i="3" s="1"/>
  <c r="S65" i="3" s="1"/>
  <c r="V65" i="3" s="1"/>
  <c r="R64" i="3"/>
  <c r="E64" i="3"/>
  <c r="I64" i="3" s="1"/>
  <c r="S64" i="3" s="1"/>
  <c r="V64" i="3" s="1"/>
  <c r="E63" i="3"/>
  <c r="K63" i="3" s="1"/>
  <c r="E62" i="3"/>
  <c r="Z61" i="3"/>
  <c r="R61" i="3"/>
  <c r="E61" i="3"/>
  <c r="I61" i="3" s="1"/>
  <c r="S61" i="3" s="1"/>
  <c r="V61" i="3" s="1"/>
  <c r="R60" i="3"/>
  <c r="E60" i="3"/>
  <c r="I60" i="3" s="1"/>
  <c r="S60" i="3" s="1"/>
  <c r="V60" i="3" s="1"/>
  <c r="Z59" i="3"/>
  <c r="E59" i="3"/>
  <c r="J58" i="3"/>
  <c r="E58" i="3"/>
  <c r="I58" i="3" s="1"/>
  <c r="R57" i="3"/>
  <c r="E57" i="3"/>
  <c r="I57" i="3" s="1"/>
  <c r="S57" i="3" s="1"/>
  <c r="V57" i="3" s="1"/>
  <c r="J56" i="3"/>
  <c r="E56" i="3"/>
  <c r="I56" i="3" s="1"/>
  <c r="S55" i="3"/>
  <c r="V55" i="3" s="1"/>
  <c r="R55" i="3"/>
  <c r="E55" i="3"/>
  <c r="I55" i="3" s="1"/>
  <c r="J54" i="3"/>
  <c r="E54" i="3"/>
  <c r="I54" i="3" s="1"/>
  <c r="R53" i="3"/>
  <c r="E53" i="3"/>
  <c r="I53" i="3" s="1"/>
  <c r="S53" i="3" s="1"/>
  <c r="V53" i="3" s="1"/>
  <c r="J52" i="3"/>
  <c r="E52" i="3"/>
  <c r="I52" i="3" s="1"/>
  <c r="E51" i="3"/>
  <c r="K51" i="3" s="1"/>
  <c r="E50" i="3"/>
  <c r="R49" i="3"/>
  <c r="E49" i="3"/>
  <c r="I49" i="3" s="1"/>
  <c r="S49" i="3" s="1"/>
  <c r="V49" i="3" s="1"/>
  <c r="I48" i="3"/>
  <c r="S48" i="3" s="1"/>
  <c r="V48" i="3" s="1"/>
  <c r="E48" i="3"/>
  <c r="R47" i="3"/>
  <c r="S47" i="3" s="1"/>
  <c r="V47" i="3" s="1"/>
  <c r="E47" i="3"/>
  <c r="I47" i="3" s="1"/>
  <c r="R46" i="3"/>
  <c r="E46" i="3"/>
  <c r="I46" i="3" s="1"/>
  <c r="S46" i="3" s="1"/>
  <c r="V46" i="3" s="1"/>
  <c r="J45" i="3"/>
  <c r="E45" i="3"/>
  <c r="I45" i="3" s="1"/>
  <c r="E44" i="3"/>
  <c r="K44" i="3" s="1"/>
  <c r="R43" i="3"/>
  <c r="E43" i="3"/>
  <c r="I43" i="3" s="1"/>
  <c r="S43" i="3" s="1"/>
  <c r="V43" i="3" s="1"/>
  <c r="S42" i="3"/>
  <c r="V42" i="3" s="1"/>
  <c r="R42" i="3"/>
  <c r="E42" i="3"/>
  <c r="I42" i="3" s="1"/>
  <c r="K41" i="3"/>
  <c r="J41" i="3"/>
  <c r="E41" i="3"/>
  <c r="I41" i="3" s="1"/>
  <c r="J40" i="3"/>
  <c r="E40" i="3"/>
  <c r="I40" i="3" s="1"/>
  <c r="E39" i="3"/>
  <c r="E38" i="3"/>
  <c r="E37" i="3"/>
  <c r="I37" i="3" s="1"/>
  <c r="R36" i="3"/>
  <c r="E36" i="3"/>
  <c r="I36" i="3" s="1"/>
  <c r="S36" i="3" s="1"/>
  <c r="V36" i="3" s="1"/>
  <c r="K35" i="3"/>
  <c r="E35" i="3"/>
  <c r="I35" i="3" s="1"/>
  <c r="J34" i="3"/>
  <c r="E34" i="3"/>
  <c r="I34" i="3" s="1"/>
  <c r="E33" i="3"/>
  <c r="I33" i="3" s="1"/>
  <c r="I32" i="3"/>
  <c r="E32" i="3"/>
  <c r="J32" i="3" s="1"/>
  <c r="K31" i="3"/>
  <c r="E31" i="3"/>
  <c r="I31" i="3" s="1"/>
  <c r="J30" i="3"/>
  <c r="E30" i="3"/>
  <c r="I30" i="3" s="1"/>
  <c r="E29" i="3"/>
  <c r="K29" i="3" s="1"/>
  <c r="E28" i="3"/>
  <c r="J28" i="3" s="1"/>
  <c r="E27" i="3"/>
  <c r="I27" i="3" s="1"/>
  <c r="J26" i="3"/>
  <c r="E26" i="3"/>
  <c r="I26" i="3" s="1"/>
  <c r="E25" i="3"/>
  <c r="K25" i="3" s="1"/>
  <c r="R24" i="3"/>
  <c r="E24" i="3"/>
  <c r="I24" i="3" s="1"/>
  <c r="S24" i="3" s="1"/>
  <c r="V24" i="3" s="1"/>
  <c r="E23" i="3"/>
  <c r="K23" i="3" s="1"/>
  <c r="E22" i="3"/>
  <c r="K22" i="3" s="1"/>
  <c r="Q21" i="3"/>
  <c r="Q91" i="3" s="1"/>
  <c r="E21" i="3"/>
  <c r="K21" i="3" s="1"/>
  <c r="K20" i="3"/>
  <c r="E20" i="3"/>
  <c r="J20" i="3" s="1"/>
  <c r="E19" i="3"/>
  <c r="I19" i="3" s="1"/>
  <c r="E18" i="3"/>
  <c r="K18" i="3" s="1"/>
  <c r="R17" i="3"/>
  <c r="E17" i="3"/>
  <c r="I17" i="3" s="1"/>
  <c r="S17" i="3" s="1"/>
  <c r="V17" i="3" s="1"/>
  <c r="J16" i="3"/>
  <c r="E16" i="3"/>
  <c r="I16" i="3" s="1"/>
  <c r="E15" i="3"/>
  <c r="K15" i="3" s="1"/>
  <c r="K14" i="3"/>
  <c r="E14" i="3"/>
  <c r="J14" i="3" s="1"/>
  <c r="R13" i="3"/>
  <c r="E13" i="3"/>
  <c r="I13" i="3" s="1"/>
  <c r="R12" i="3"/>
  <c r="E12" i="3"/>
  <c r="I12" i="3" s="1"/>
  <c r="S12" i="3" s="1"/>
  <c r="V12" i="3" s="1"/>
  <c r="E11" i="3"/>
  <c r="K11" i="3" s="1"/>
  <c r="K10" i="3"/>
  <c r="E10" i="3"/>
  <c r="J10" i="3" s="1"/>
  <c r="E9" i="3"/>
  <c r="I9" i="3" s="1"/>
  <c r="E8" i="3"/>
  <c r="K8" i="3" s="1"/>
  <c r="E7" i="3"/>
  <c r="K7" i="3" s="1"/>
  <c r="G6" i="3"/>
  <c r="G91" i="3" s="1"/>
  <c r="E6" i="3"/>
  <c r="J6" i="3" s="1"/>
  <c r="K5" i="3"/>
  <c r="E5" i="3"/>
  <c r="J5" i="3" s="1"/>
  <c r="E4" i="3"/>
  <c r="E91" i="3" s="1"/>
  <c r="J4" i="3" l="1"/>
  <c r="I8" i="3"/>
  <c r="S8" i="3" s="1"/>
  <c r="V8" i="3" s="1"/>
  <c r="J9" i="3"/>
  <c r="S13" i="3"/>
  <c r="V13" i="3" s="1"/>
  <c r="K16" i="3"/>
  <c r="I18" i="3"/>
  <c r="S18" i="3" s="1"/>
  <c r="V18" i="3" s="1"/>
  <c r="J19" i="3"/>
  <c r="J23" i="3"/>
  <c r="R23" i="3" s="1"/>
  <c r="K26" i="3"/>
  <c r="J29" i="3"/>
  <c r="R29" i="3" s="1"/>
  <c r="K30" i="3"/>
  <c r="R30" i="3" s="1"/>
  <c r="S30" i="3" s="1"/>
  <c r="V30" i="3" s="1"/>
  <c r="K34" i="3"/>
  <c r="R34" i="3" s="1"/>
  <c r="S34" i="3" s="1"/>
  <c r="V34" i="3" s="1"/>
  <c r="J37" i="3"/>
  <c r="K40" i="3"/>
  <c r="I44" i="3"/>
  <c r="I51" i="3"/>
  <c r="K54" i="3"/>
  <c r="K58" i="3"/>
  <c r="R58" i="3" s="1"/>
  <c r="S58" i="3" s="1"/>
  <c r="V58" i="3" s="1"/>
  <c r="I63" i="3"/>
  <c r="S68" i="3"/>
  <c r="V68" i="3" s="1"/>
  <c r="R40" i="3"/>
  <c r="S40" i="3" s="1"/>
  <c r="V40" i="3" s="1"/>
  <c r="K4" i="3"/>
  <c r="K37" i="3"/>
  <c r="J44" i="3"/>
  <c r="R44" i="3" s="1"/>
  <c r="J51" i="3"/>
  <c r="R51" i="3" s="1"/>
  <c r="J63" i="3"/>
  <c r="R63" i="3" s="1"/>
  <c r="S63" i="3" s="1"/>
  <c r="V63" i="3" s="1"/>
  <c r="R76" i="3"/>
  <c r="S76" i="3" s="1"/>
  <c r="V76" i="3" s="1"/>
  <c r="R16" i="3"/>
  <c r="R26" i="3"/>
  <c r="S26" i="3" s="1"/>
  <c r="V26" i="3" s="1"/>
  <c r="J8" i="3"/>
  <c r="R8" i="3" s="1"/>
  <c r="K9" i="3"/>
  <c r="J18" i="3"/>
  <c r="R18" i="3" s="1"/>
  <c r="K19" i="3"/>
  <c r="R10" i="3"/>
  <c r="R14" i="3"/>
  <c r="R20" i="3"/>
  <c r="K32" i="3"/>
  <c r="R32" i="3" s="1"/>
  <c r="S32" i="3" s="1"/>
  <c r="V32" i="3" s="1"/>
  <c r="J35" i="3"/>
  <c r="R35" i="3" s="1"/>
  <c r="S35" i="3" s="1"/>
  <c r="V35" i="3" s="1"/>
  <c r="K45" i="3"/>
  <c r="R45" i="3" s="1"/>
  <c r="S45" i="3" s="1"/>
  <c r="V45" i="3" s="1"/>
  <c r="K52" i="3"/>
  <c r="K56" i="3"/>
  <c r="K76" i="3"/>
  <c r="R5" i="3"/>
  <c r="S16" i="3"/>
  <c r="V16" i="3" s="1"/>
  <c r="K6" i="3"/>
  <c r="R6" i="3" s="1"/>
  <c r="K39" i="3"/>
  <c r="J39" i="3"/>
  <c r="R39" i="3" s="1"/>
  <c r="K50" i="3"/>
  <c r="J50" i="3"/>
  <c r="R50" i="3" s="1"/>
  <c r="J71" i="3"/>
  <c r="I71" i="3"/>
  <c r="J77" i="3"/>
  <c r="I77" i="3"/>
  <c r="J78" i="3"/>
  <c r="I78" i="3"/>
  <c r="K87" i="3"/>
  <c r="J87" i="3"/>
  <c r="R87" i="3" s="1"/>
  <c r="I15" i="3"/>
  <c r="I21" i="3"/>
  <c r="I22" i="3"/>
  <c r="J38" i="3"/>
  <c r="I38" i="3"/>
  <c r="I39" i="3"/>
  <c r="S39" i="3" s="1"/>
  <c r="V39" i="3" s="1"/>
  <c r="I50" i="3"/>
  <c r="J69" i="3"/>
  <c r="R69" i="3" s="1"/>
  <c r="I69" i="3"/>
  <c r="K77" i="3"/>
  <c r="K78" i="3"/>
  <c r="K85" i="3"/>
  <c r="J85" i="3"/>
  <c r="I87" i="3"/>
  <c r="I5" i="3"/>
  <c r="I6" i="3"/>
  <c r="I10" i="3"/>
  <c r="S10" i="3" s="1"/>
  <c r="V10" i="3" s="1"/>
  <c r="J11" i="3"/>
  <c r="R11" i="3" s="1"/>
  <c r="I14" i="3"/>
  <c r="S14" i="3" s="1"/>
  <c r="V14" i="3" s="1"/>
  <c r="J25" i="3"/>
  <c r="R25" i="3" s="1"/>
  <c r="I28" i="3"/>
  <c r="I7" i="3"/>
  <c r="I11" i="3"/>
  <c r="I25" i="3"/>
  <c r="J27" i="3"/>
  <c r="K71" i="3"/>
  <c r="J7" i="3"/>
  <c r="R7" i="3" s="1"/>
  <c r="J15" i="3"/>
  <c r="R15" i="3" s="1"/>
  <c r="I20" i="3"/>
  <c r="S20" i="3" s="1"/>
  <c r="V20" i="3" s="1"/>
  <c r="J21" i="3"/>
  <c r="R21" i="3" s="1"/>
  <c r="J22" i="3"/>
  <c r="R22" i="3" s="1"/>
  <c r="K27" i="3"/>
  <c r="K38" i="3"/>
  <c r="S54" i="3"/>
  <c r="V54" i="3" s="1"/>
  <c r="J59" i="3"/>
  <c r="I59" i="3"/>
  <c r="K62" i="3"/>
  <c r="J62" i="3"/>
  <c r="R62" i="3" s="1"/>
  <c r="K66" i="3"/>
  <c r="J66" i="3"/>
  <c r="R66" i="3" s="1"/>
  <c r="K69" i="3"/>
  <c r="K74" i="3"/>
  <c r="J74" i="3"/>
  <c r="J84" i="3"/>
  <c r="I84" i="3"/>
  <c r="I85" i="3"/>
  <c r="I4" i="3"/>
  <c r="I23" i="3"/>
  <c r="S23" i="3" s="1"/>
  <c r="V23" i="3" s="1"/>
  <c r="K28" i="3"/>
  <c r="R28" i="3" s="1"/>
  <c r="I29" i="3"/>
  <c r="S29" i="3" s="1"/>
  <c r="V29" i="3" s="1"/>
  <c r="J31" i="3"/>
  <c r="R31" i="3" s="1"/>
  <c r="S31" i="3" s="1"/>
  <c r="V31" i="3" s="1"/>
  <c r="K33" i="3"/>
  <c r="J33" i="3"/>
  <c r="R41" i="3"/>
  <c r="S41" i="3" s="1"/>
  <c r="V41" i="3" s="1"/>
  <c r="R52" i="3"/>
  <c r="S52" i="3" s="1"/>
  <c r="V52" i="3" s="1"/>
  <c r="R54" i="3"/>
  <c r="R56" i="3"/>
  <c r="S56" i="3" s="1"/>
  <c r="V56" i="3" s="1"/>
  <c r="K59" i="3"/>
  <c r="I62" i="3"/>
  <c r="I66" i="3"/>
  <c r="S67" i="3"/>
  <c r="V67" i="3" s="1"/>
  <c r="K72" i="3"/>
  <c r="J72" i="3"/>
  <c r="I74" i="3"/>
  <c r="S81" i="3"/>
  <c r="V81" i="3" s="1"/>
  <c r="J82" i="3"/>
  <c r="R82" i="3" s="1"/>
  <c r="I82" i="3"/>
  <c r="K84" i="3"/>
  <c r="K89" i="3"/>
  <c r="J89" i="3"/>
  <c r="R89" i="3" s="1"/>
  <c r="S89" i="3" s="1"/>
  <c r="V89" i="3" s="1"/>
  <c r="R37" i="3" l="1"/>
  <c r="S37" i="3" s="1"/>
  <c r="V37" i="3" s="1"/>
  <c r="R4" i="3"/>
  <c r="S4" i="3" s="1"/>
  <c r="V4" i="3" s="1"/>
  <c r="R84" i="3"/>
  <c r="S87" i="3"/>
  <c r="V87" i="3" s="1"/>
  <c r="S21" i="3"/>
  <c r="V21" i="3" s="1"/>
  <c r="S51" i="3"/>
  <c r="V51" i="3" s="1"/>
  <c r="R74" i="3"/>
  <c r="K91" i="3"/>
  <c r="S25" i="3"/>
  <c r="V25" i="3" s="1"/>
  <c r="S28" i="3"/>
  <c r="V28" i="3" s="1"/>
  <c r="R85" i="3"/>
  <c r="S69" i="3"/>
  <c r="V69" i="3" s="1"/>
  <c r="R78" i="3"/>
  <c r="S78" i="3" s="1"/>
  <c r="V78" i="3" s="1"/>
  <c r="R71" i="3"/>
  <c r="S71" i="3" s="1"/>
  <c r="V71" i="3" s="1"/>
  <c r="S44" i="3"/>
  <c r="V44" i="3" s="1"/>
  <c r="R19" i="3"/>
  <c r="S19" i="3" s="1"/>
  <c r="V19" i="3" s="1"/>
  <c r="R9" i="3"/>
  <c r="S9" i="3" s="1"/>
  <c r="V9" i="3" s="1"/>
  <c r="J91" i="3"/>
  <c r="R59" i="3"/>
  <c r="S59" i="3" s="1"/>
  <c r="V59" i="3" s="1"/>
  <c r="S11" i="3"/>
  <c r="V11" i="3" s="1"/>
  <c r="S15" i="3"/>
  <c r="V15" i="3" s="1"/>
  <c r="S74" i="3"/>
  <c r="V74" i="3" s="1"/>
  <c r="S66" i="3"/>
  <c r="V66" i="3" s="1"/>
  <c r="S85" i="3"/>
  <c r="V85" i="3" s="1"/>
  <c r="S7" i="3"/>
  <c r="V7" i="3" s="1"/>
  <c r="S6" i="3"/>
  <c r="V6" i="3" s="1"/>
  <c r="R38" i="3"/>
  <c r="S38" i="3" s="1"/>
  <c r="V38" i="3" s="1"/>
  <c r="S82" i="3"/>
  <c r="V82" i="3" s="1"/>
  <c r="R72" i="3"/>
  <c r="S72" i="3" s="1"/>
  <c r="V72" i="3" s="1"/>
  <c r="S62" i="3"/>
  <c r="V62" i="3" s="1"/>
  <c r="R33" i="3"/>
  <c r="S33" i="3" s="1"/>
  <c r="V33" i="3" s="1"/>
  <c r="S84" i="3"/>
  <c r="V84" i="3" s="1"/>
  <c r="R27" i="3"/>
  <c r="S27" i="3" s="1"/>
  <c r="V27" i="3" s="1"/>
  <c r="I91" i="3"/>
  <c r="S5" i="3"/>
  <c r="V5" i="3" s="1"/>
  <c r="S50" i="3"/>
  <c r="V50" i="3" s="1"/>
  <c r="S22" i="3"/>
  <c r="V22" i="3" s="1"/>
  <c r="R77" i="3"/>
  <c r="S77" i="3" s="1"/>
  <c r="V77" i="3" s="1"/>
  <c r="R91" i="3" l="1"/>
  <c r="V91" i="3"/>
  <c r="S91" i="3"/>
  <c r="C180" i="2" l="1"/>
  <c r="C160" i="2"/>
  <c r="C153" i="2"/>
  <c r="C155" i="2" s="1"/>
  <c r="W88" i="2"/>
  <c r="V88" i="2"/>
  <c r="R88" i="2"/>
  <c r="Q88" i="2"/>
  <c r="P88" i="2"/>
  <c r="O88" i="2"/>
  <c r="N88" i="2"/>
  <c r="J88" i="2"/>
  <c r="H88" i="2"/>
  <c r="E88" i="2"/>
  <c r="L87" i="2"/>
  <c r="G87" i="2"/>
  <c r="K87" i="2" s="1"/>
  <c r="K86" i="2"/>
  <c r="G86" i="2"/>
  <c r="M86" i="2" s="1"/>
  <c r="T85" i="2"/>
  <c r="K85" i="2"/>
  <c r="U85" i="2" s="1"/>
  <c r="X85" i="2" s="1"/>
  <c r="G85" i="2"/>
  <c r="G84" i="2"/>
  <c r="M84" i="2" s="1"/>
  <c r="K83" i="2"/>
  <c r="G83" i="2"/>
  <c r="M83" i="2" s="1"/>
  <c r="G82" i="2"/>
  <c r="M81" i="2"/>
  <c r="L81" i="2"/>
  <c r="K81" i="2"/>
  <c r="G81" i="2"/>
  <c r="L80" i="2"/>
  <c r="G80" i="2"/>
  <c r="M80" i="2" s="1"/>
  <c r="G79" i="2"/>
  <c r="M79" i="2" s="1"/>
  <c r="G78" i="2"/>
  <c r="M77" i="2"/>
  <c r="K77" i="2"/>
  <c r="G77" i="2"/>
  <c r="L77" i="2" s="1"/>
  <c r="G76" i="2"/>
  <c r="M76" i="2" s="1"/>
  <c r="G75" i="2"/>
  <c r="M75" i="2" s="1"/>
  <c r="S74" i="2"/>
  <c r="K74" i="2"/>
  <c r="G74" i="2"/>
  <c r="M74" i="2" s="1"/>
  <c r="G73" i="2"/>
  <c r="L72" i="2"/>
  <c r="G72" i="2"/>
  <c r="K72" i="2" s="1"/>
  <c r="K71" i="2"/>
  <c r="G71" i="2"/>
  <c r="M71" i="2" s="1"/>
  <c r="G70" i="2"/>
  <c r="G69" i="2"/>
  <c r="M68" i="2"/>
  <c r="L68" i="2"/>
  <c r="K68" i="2"/>
  <c r="G68" i="2"/>
  <c r="L67" i="2"/>
  <c r="G67" i="2"/>
  <c r="M67" i="2" s="1"/>
  <c r="G66" i="2"/>
  <c r="M65" i="2"/>
  <c r="G65" i="2"/>
  <c r="M64" i="2"/>
  <c r="K64" i="2"/>
  <c r="G64" i="2"/>
  <c r="L64" i="2" s="1"/>
  <c r="T64" i="2" s="1"/>
  <c r="G63" i="2"/>
  <c r="M63" i="2" s="1"/>
  <c r="G62" i="2"/>
  <c r="K62" i="2" s="1"/>
  <c r="G61" i="2"/>
  <c r="M60" i="2"/>
  <c r="L60" i="2"/>
  <c r="K60" i="2"/>
  <c r="G60" i="2"/>
  <c r="L59" i="2"/>
  <c r="T59" i="2" s="1"/>
  <c r="G59" i="2"/>
  <c r="M59" i="2" s="1"/>
  <c r="AB58" i="2"/>
  <c r="X58" i="2"/>
  <c r="T58" i="2"/>
  <c r="G58" i="2"/>
  <c r="K58" i="2" s="1"/>
  <c r="U58" i="2" s="1"/>
  <c r="AB57" i="2"/>
  <c r="M57" i="2"/>
  <c r="G57" i="2"/>
  <c r="M56" i="2"/>
  <c r="K56" i="2"/>
  <c r="G56" i="2"/>
  <c r="L56" i="2" s="1"/>
  <c r="T56" i="2" s="1"/>
  <c r="T55" i="2"/>
  <c r="G55" i="2"/>
  <c r="K55" i="2" s="1"/>
  <c r="M54" i="2"/>
  <c r="L54" i="2"/>
  <c r="K54" i="2"/>
  <c r="G54" i="2"/>
  <c r="L53" i="2"/>
  <c r="T53" i="2" s="1"/>
  <c r="G53" i="2"/>
  <c r="M53" i="2" s="1"/>
  <c r="G52" i="2"/>
  <c r="M51" i="2"/>
  <c r="G51" i="2"/>
  <c r="M50" i="2"/>
  <c r="K50" i="2"/>
  <c r="G50" i="2"/>
  <c r="L50" i="2" s="1"/>
  <c r="T50" i="2" s="1"/>
  <c r="G49" i="2"/>
  <c r="M49" i="2" s="1"/>
  <c r="K48" i="2"/>
  <c r="U48" i="2" s="1"/>
  <c r="X48" i="2" s="1"/>
  <c r="G48" i="2"/>
  <c r="T47" i="2"/>
  <c r="G47" i="2"/>
  <c r="K47" i="2" s="1"/>
  <c r="K46" i="2"/>
  <c r="G46" i="2"/>
  <c r="M46" i="2" s="1"/>
  <c r="K45" i="2"/>
  <c r="G45" i="2"/>
  <c r="G44" i="2"/>
  <c r="G43" i="2"/>
  <c r="M43" i="2" s="1"/>
  <c r="L42" i="2"/>
  <c r="K42" i="2"/>
  <c r="G42" i="2"/>
  <c r="M42" i="2" s="1"/>
  <c r="G41" i="2"/>
  <c r="G40" i="2"/>
  <c r="M40" i="2" s="1"/>
  <c r="L39" i="2"/>
  <c r="G39" i="2"/>
  <c r="K39" i="2" s="1"/>
  <c r="K38" i="2"/>
  <c r="G38" i="2"/>
  <c r="M38" i="2" s="1"/>
  <c r="K37" i="2"/>
  <c r="G37" i="2"/>
  <c r="G36" i="2"/>
  <c r="G35" i="2"/>
  <c r="M35" i="2" s="1"/>
  <c r="G34" i="2"/>
  <c r="M34" i="2" s="1"/>
  <c r="G33" i="2"/>
  <c r="M32" i="2"/>
  <c r="G32" i="2"/>
  <c r="K32" i="2" s="1"/>
  <c r="L31" i="2"/>
  <c r="G31" i="2"/>
  <c r="K31" i="2" s="1"/>
  <c r="G30" i="2"/>
  <c r="M30" i="2" s="1"/>
  <c r="G29" i="2"/>
  <c r="M28" i="2"/>
  <c r="K28" i="2"/>
  <c r="G28" i="2"/>
  <c r="L28" i="2" s="1"/>
  <c r="L27" i="2"/>
  <c r="G27" i="2"/>
  <c r="K27" i="2" s="1"/>
  <c r="M26" i="2"/>
  <c r="G26" i="2"/>
  <c r="L26" i="2" s="1"/>
  <c r="L25" i="2"/>
  <c r="I25" i="2"/>
  <c r="G25" i="2"/>
  <c r="M25" i="2" s="1"/>
  <c r="T25" i="2" s="1"/>
  <c r="G24" i="2"/>
  <c r="L23" i="2"/>
  <c r="G23" i="2"/>
  <c r="K23" i="2" s="1"/>
  <c r="S22" i="2"/>
  <c r="S88" i="2" s="1"/>
  <c r="M22" i="2"/>
  <c r="G22" i="2"/>
  <c r="L22" i="2" s="1"/>
  <c r="G21" i="2"/>
  <c r="K21" i="2" s="1"/>
  <c r="M20" i="2"/>
  <c r="L20" i="2"/>
  <c r="K20" i="2"/>
  <c r="G20" i="2"/>
  <c r="G19" i="2"/>
  <c r="M18" i="2"/>
  <c r="K18" i="2"/>
  <c r="G18" i="2"/>
  <c r="L18" i="2" s="1"/>
  <c r="L17" i="2"/>
  <c r="G17" i="2"/>
  <c r="K17" i="2" s="1"/>
  <c r="G16" i="2"/>
  <c r="M16" i="2" s="1"/>
  <c r="G15" i="2"/>
  <c r="G14" i="2"/>
  <c r="L14" i="2" s="1"/>
  <c r="G13" i="2"/>
  <c r="K13" i="2" s="1"/>
  <c r="L12" i="2"/>
  <c r="G12" i="2"/>
  <c r="K12" i="2" s="1"/>
  <c r="G11" i="2"/>
  <c r="M10" i="2"/>
  <c r="G10" i="2"/>
  <c r="L10" i="2" s="1"/>
  <c r="G9" i="2"/>
  <c r="K9" i="2" s="1"/>
  <c r="G8" i="2"/>
  <c r="M8" i="2" s="1"/>
  <c r="G7" i="2"/>
  <c r="I6" i="2"/>
  <c r="G6" i="2"/>
  <c r="M5" i="2"/>
  <c r="G5" i="2"/>
  <c r="L5" i="2" s="1"/>
  <c r="G4" i="2"/>
  <c r="M4" i="2" s="1"/>
  <c r="L4" i="2" l="1"/>
  <c r="T4" i="2" s="1"/>
  <c r="K8" i="2"/>
  <c r="L9" i="2"/>
  <c r="M12" i="2"/>
  <c r="T12" i="2" s="1"/>
  <c r="U12" i="2" s="1"/>
  <c r="X12" i="2" s="1"/>
  <c r="K14" i="2"/>
  <c r="K16" i="2"/>
  <c r="T20" i="2"/>
  <c r="U20" i="2" s="1"/>
  <c r="X20" i="2" s="1"/>
  <c r="L21" i="2"/>
  <c r="M23" i="2"/>
  <c r="T23" i="2" s="1"/>
  <c r="U23" i="2" s="1"/>
  <c r="X23" i="2" s="1"/>
  <c r="K30" i="2"/>
  <c r="M31" i="2"/>
  <c r="K35" i="2"/>
  <c r="L38" i="2"/>
  <c r="T38" i="2" s="1"/>
  <c r="U38" i="2" s="1"/>
  <c r="X38" i="2" s="1"/>
  <c r="M39" i="2"/>
  <c r="K43" i="2"/>
  <c r="L46" i="2"/>
  <c r="K49" i="2"/>
  <c r="U55" i="2"/>
  <c r="X55" i="2" s="1"/>
  <c r="K63" i="2"/>
  <c r="L71" i="2"/>
  <c r="M72" i="2"/>
  <c r="T72" i="2" s="1"/>
  <c r="U72" i="2" s="1"/>
  <c r="X72" i="2" s="1"/>
  <c r="K76" i="2"/>
  <c r="K79" i="2"/>
  <c r="K84" i="2"/>
  <c r="L86" i="2"/>
  <c r="T86" i="2" s="1"/>
  <c r="U86" i="2" s="1"/>
  <c r="X86" i="2" s="1"/>
  <c r="M87" i="2"/>
  <c r="T39" i="2"/>
  <c r="L8" i="2"/>
  <c r="T8" i="2" s="1"/>
  <c r="U8" i="2" s="1"/>
  <c r="X8" i="2" s="1"/>
  <c r="M14" i="2"/>
  <c r="T26" i="2"/>
  <c r="L35" i="2"/>
  <c r="L43" i="2"/>
  <c r="T43" i="2" s="1"/>
  <c r="U43" i="2" s="1"/>
  <c r="X43" i="2" s="1"/>
  <c r="L49" i="2"/>
  <c r="L63" i="2"/>
  <c r="L76" i="2"/>
  <c r="L84" i="2"/>
  <c r="T84" i="2" s="1"/>
  <c r="U47" i="2"/>
  <c r="X47" i="2" s="1"/>
  <c r="L16" i="2"/>
  <c r="T16" i="2" s="1"/>
  <c r="T22" i="2"/>
  <c r="K5" i="2"/>
  <c r="K10" i="2"/>
  <c r="L13" i="2"/>
  <c r="T18" i="2"/>
  <c r="K22" i="2"/>
  <c r="U22" i="2" s="1"/>
  <c r="X22" i="2" s="1"/>
  <c r="K26" i="2"/>
  <c r="L32" i="2"/>
  <c r="T32" i="2" s="1"/>
  <c r="U32" i="2" s="1"/>
  <c r="X32" i="2" s="1"/>
  <c r="K34" i="2"/>
  <c r="K53" i="2"/>
  <c r="U53" i="2" s="1"/>
  <c r="X53" i="2" s="1"/>
  <c r="K59" i="2"/>
  <c r="K67" i="2"/>
  <c r="K75" i="2"/>
  <c r="K80" i="2"/>
  <c r="U18" i="2"/>
  <c r="X18" i="2" s="1"/>
  <c r="T28" i="2"/>
  <c r="M41" i="2"/>
  <c r="L41" i="2"/>
  <c r="K41" i="2"/>
  <c r="L61" i="2"/>
  <c r="K61" i="2"/>
  <c r="M61" i="2"/>
  <c r="L6" i="2"/>
  <c r="K6" i="2"/>
  <c r="M15" i="2"/>
  <c r="L15" i="2"/>
  <c r="K15" i="2"/>
  <c r="M24" i="2"/>
  <c r="L24" i="2"/>
  <c r="K24" i="2"/>
  <c r="M66" i="2"/>
  <c r="L66" i="2"/>
  <c r="K66" i="2"/>
  <c r="M7" i="2"/>
  <c r="L7" i="2"/>
  <c r="T7" i="2" s="1"/>
  <c r="K7" i="2"/>
  <c r="U28" i="2"/>
  <c r="X28" i="2" s="1"/>
  <c r="L36" i="2"/>
  <c r="K36" i="2"/>
  <c r="M36" i="2"/>
  <c r="M11" i="2"/>
  <c r="L11" i="2"/>
  <c r="K11" i="2"/>
  <c r="T5" i="2"/>
  <c r="T10" i="2"/>
  <c r="U10" i="2" s="1"/>
  <c r="X10" i="2" s="1"/>
  <c r="M6" i="2"/>
  <c r="T14" i="2"/>
  <c r="M19" i="2"/>
  <c r="L19" i="2"/>
  <c r="K19" i="2"/>
  <c r="M29" i="2"/>
  <c r="L29" i="2"/>
  <c r="K29" i="2"/>
  <c r="L33" i="2"/>
  <c r="M33" i="2"/>
  <c r="K33" i="2"/>
  <c r="U59" i="2"/>
  <c r="X59" i="2" s="1"/>
  <c r="M82" i="2"/>
  <c r="L82" i="2"/>
  <c r="K82" i="2"/>
  <c r="I88" i="2"/>
  <c r="M9" i="2"/>
  <c r="T9" i="2" s="1"/>
  <c r="U9" i="2" s="1"/>
  <c r="X9" i="2" s="1"/>
  <c r="M13" i="2"/>
  <c r="T13" i="2" s="1"/>
  <c r="U13" i="2" s="1"/>
  <c r="X13" i="2" s="1"/>
  <c r="M17" i="2"/>
  <c r="T17" i="2" s="1"/>
  <c r="U17" i="2" s="1"/>
  <c r="X17" i="2" s="1"/>
  <c r="M21" i="2"/>
  <c r="T21" i="2" s="1"/>
  <c r="U21" i="2" s="1"/>
  <c r="X21" i="2" s="1"/>
  <c r="K25" i="2"/>
  <c r="U25" i="2" s="1"/>
  <c r="X25" i="2" s="1"/>
  <c r="M27" i="2"/>
  <c r="T27" i="2" s="1"/>
  <c r="U27" i="2" s="1"/>
  <c r="X27" i="2" s="1"/>
  <c r="L30" i="2"/>
  <c r="T30" i="2" s="1"/>
  <c r="U30" i="2" s="1"/>
  <c r="X30" i="2" s="1"/>
  <c r="T35" i="2"/>
  <c r="U35" i="2" s="1"/>
  <c r="X35" i="2" s="1"/>
  <c r="U39" i="2"/>
  <c r="X39" i="2" s="1"/>
  <c r="L40" i="2"/>
  <c r="T40" i="2" s="1"/>
  <c r="K40" i="2"/>
  <c r="M45" i="2"/>
  <c r="L45" i="2"/>
  <c r="T54" i="2"/>
  <c r="U54" i="2" s="1"/>
  <c r="X54" i="2" s="1"/>
  <c r="U56" i="2"/>
  <c r="X56" i="2" s="1"/>
  <c r="L57" i="2"/>
  <c r="T57" i="2" s="1"/>
  <c r="K57" i="2"/>
  <c r="T60" i="2"/>
  <c r="U60" i="2" s="1"/>
  <c r="X60" i="2" s="1"/>
  <c r="T63" i="2"/>
  <c r="U63" i="2" s="1"/>
  <c r="X63" i="2" s="1"/>
  <c r="U64" i="2"/>
  <c r="X64" i="2" s="1"/>
  <c r="L65" i="2"/>
  <c r="T65" i="2" s="1"/>
  <c r="K65" i="2"/>
  <c r="M70" i="2"/>
  <c r="L70" i="2"/>
  <c r="T76" i="2"/>
  <c r="U76" i="2" s="1"/>
  <c r="X76" i="2" s="1"/>
  <c r="T77" i="2"/>
  <c r="U77" i="2" s="1"/>
  <c r="X77" i="2" s="1"/>
  <c r="T42" i="2"/>
  <c r="U42" i="2" s="1"/>
  <c r="X42" i="2" s="1"/>
  <c r="L44" i="2"/>
  <c r="K44" i="2"/>
  <c r="M52" i="2"/>
  <c r="L52" i="2"/>
  <c r="T67" i="2"/>
  <c r="L69" i="2"/>
  <c r="K69" i="2"/>
  <c r="K70" i="2"/>
  <c r="M73" i="2"/>
  <c r="L73" i="2"/>
  <c r="T73" i="2" s="1"/>
  <c r="K73" i="2"/>
  <c r="T80" i="2"/>
  <c r="U80" i="2" s="1"/>
  <c r="X80" i="2" s="1"/>
  <c r="T81" i="2"/>
  <c r="U81" i="2" s="1"/>
  <c r="X81" i="2" s="1"/>
  <c r="U84" i="2"/>
  <c r="X84" i="2" s="1"/>
  <c r="G88" i="2"/>
  <c r="U5" i="2"/>
  <c r="X5" i="2" s="1"/>
  <c r="K4" i="2"/>
  <c r="T31" i="2"/>
  <c r="U31" i="2" s="1"/>
  <c r="X31" i="2" s="1"/>
  <c r="L34" i="2"/>
  <c r="T34" i="2" s="1"/>
  <c r="U34" i="2" s="1"/>
  <c r="X34" i="2" s="1"/>
  <c r="M37" i="2"/>
  <c r="L37" i="2"/>
  <c r="M44" i="2"/>
  <c r="T46" i="2"/>
  <c r="U46" i="2" s="1"/>
  <c r="X46" i="2" s="1"/>
  <c r="T49" i="2"/>
  <c r="U49" i="2" s="1"/>
  <c r="X49" i="2" s="1"/>
  <c r="U50" i="2"/>
  <c r="X50" i="2" s="1"/>
  <c r="L51" i="2"/>
  <c r="T51" i="2" s="1"/>
  <c r="K51" i="2"/>
  <c r="K52" i="2"/>
  <c r="M62" i="2"/>
  <c r="L62" i="2"/>
  <c r="T68" i="2"/>
  <c r="U68" i="2" s="1"/>
  <c r="X68" i="2" s="1"/>
  <c r="M69" i="2"/>
  <c r="T71" i="2"/>
  <c r="U71" i="2" s="1"/>
  <c r="X71" i="2" s="1"/>
  <c r="M78" i="2"/>
  <c r="L78" i="2"/>
  <c r="K78" i="2"/>
  <c r="T87" i="2"/>
  <c r="U87" i="2" s="1"/>
  <c r="X87" i="2" s="1"/>
  <c r="L74" i="2"/>
  <c r="T74" i="2" s="1"/>
  <c r="U74" i="2" s="1"/>
  <c r="X74" i="2" s="1"/>
  <c r="L75" i="2"/>
  <c r="T75" i="2" s="1"/>
  <c r="U75" i="2" s="1"/>
  <c r="X75" i="2" s="1"/>
  <c r="L79" i="2"/>
  <c r="T79" i="2" s="1"/>
  <c r="U79" i="2" s="1"/>
  <c r="X79" i="2" s="1"/>
  <c r="L83" i="2"/>
  <c r="T83" i="2" s="1"/>
  <c r="U83" i="2" s="1"/>
  <c r="X83" i="2" s="1"/>
  <c r="U51" i="2" l="1"/>
  <c r="X51" i="2" s="1"/>
  <c r="U4" i="2"/>
  <c r="U67" i="2"/>
  <c r="X67" i="2" s="1"/>
  <c r="T44" i="2"/>
  <c r="U44" i="2" s="1"/>
  <c r="X44" i="2" s="1"/>
  <c r="T70" i="2"/>
  <c r="T33" i="2"/>
  <c r="U14" i="2"/>
  <c r="X14" i="2" s="1"/>
  <c r="T66" i="2"/>
  <c r="U26" i="2"/>
  <c r="X26" i="2" s="1"/>
  <c r="T69" i="2"/>
  <c r="U70" i="2"/>
  <c r="X70" i="2" s="1"/>
  <c r="U36" i="2"/>
  <c r="X36" i="2" s="1"/>
  <c r="K88" i="2"/>
  <c r="U65" i="2"/>
  <c r="X65" i="2" s="1"/>
  <c r="T29" i="2"/>
  <c r="M88" i="2"/>
  <c r="T36" i="2"/>
  <c r="U16" i="2"/>
  <c r="X16" i="2" s="1"/>
  <c r="T6" i="2"/>
  <c r="T78" i="2"/>
  <c r="U78" i="2" s="1"/>
  <c r="X78" i="2" s="1"/>
  <c r="T37" i="2"/>
  <c r="U37" i="2" s="1"/>
  <c r="X37" i="2" s="1"/>
  <c r="U57" i="2"/>
  <c r="X57" i="2" s="1"/>
  <c r="T45" i="2"/>
  <c r="U45" i="2" s="1"/>
  <c r="X45" i="2" s="1"/>
  <c r="T82" i="2"/>
  <c r="U82" i="2" s="1"/>
  <c r="X82" i="2" s="1"/>
  <c r="U29" i="2"/>
  <c r="X29" i="2" s="1"/>
  <c r="T11" i="2"/>
  <c r="T15" i="2"/>
  <c r="T88" i="2" s="1"/>
  <c r="T41" i="2"/>
  <c r="U41" i="2" s="1"/>
  <c r="X41" i="2" s="1"/>
  <c r="X4" i="2"/>
  <c r="U33" i="2"/>
  <c r="X33" i="2" s="1"/>
  <c r="U19" i="2"/>
  <c r="X19" i="2" s="1"/>
  <c r="T61" i="2"/>
  <c r="U61" i="2" s="1"/>
  <c r="X61" i="2" s="1"/>
  <c r="U11" i="2"/>
  <c r="X11" i="2" s="1"/>
  <c r="T62" i="2"/>
  <c r="U62" i="2" s="1"/>
  <c r="X62" i="2" s="1"/>
  <c r="U73" i="2"/>
  <c r="X73" i="2" s="1"/>
  <c r="U69" i="2"/>
  <c r="X69" i="2" s="1"/>
  <c r="T52" i="2"/>
  <c r="U52" i="2" s="1"/>
  <c r="X52" i="2" s="1"/>
  <c r="U40" i="2"/>
  <c r="X40" i="2" s="1"/>
  <c r="T19" i="2"/>
  <c r="L88" i="2"/>
  <c r="U7" i="2"/>
  <c r="X7" i="2" s="1"/>
  <c r="U66" i="2"/>
  <c r="X66" i="2" s="1"/>
  <c r="T24" i="2"/>
  <c r="U24" i="2" s="1"/>
  <c r="X24" i="2" s="1"/>
  <c r="U6" i="2"/>
  <c r="X6" i="2" s="1"/>
  <c r="U15" i="2" l="1"/>
  <c r="X15" i="2" s="1"/>
  <c r="X88" i="2" s="1"/>
  <c r="U88" i="2" l="1"/>
  <c r="C178" i="1" l="1"/>
  <c r="C158" i="1"/>
  <c r="C151" i="1"/>
  <c r="C153" i="1" s="1"/>
  <c r="AA86" i="1"/>
  <c r="Z86" i="1"/>
  <c r="V86" i="1"/>
  <c r="U86" i="1"/>
  <c r="T86" i="1"/>
  <c r="R86" i="1"/>
  <c r="Q86" i="1"/>
  <c r="M86" i="1"/>
  <c r="J86" i="1"/>
  <c r="I86" i="1"/>
  <c r="H86" i="1"/>
  <c r="E86" i="1"/>
  <c r="X85" i="1"/>
  <c r="G85" i="1"/>
  <c r="N85" i="1" s="1"/>
  <c r="G84" i="1"/>
  <c r="P84" i="1" s="1"/>
  <c r="G83" i="1"/>
  <c r="P82" i="1"/>
  <c r="G82" i="1"/>
  <c r="O82" i="1" s="1"/>
  <c r="G81" i="1"/>
  <c r="G80" i="1"/>
  <c r="O80" i="1" s="1"/>
  <c r="G79" i="1"/>
  <c r="G78" i="1"/>
  <c r="G77" i="1"/>
  <c r="N77" i="1" s="1"/>
  <c r="N76" i="1"/>
  <c r="G76" i="1"/>
  <c r="O76" i="1" s="1"/>
  <c r="G75" i="1"/>
  <c r="W74" i="1"/>
  <c r="P74" i="1"/>
  <c r="G74" i="1"/>
  <c r="S74" i="1" s="1"/>
  <c r="G73" i="1"/>
  <c r="S73" i="1" s="1"/>
  <c r="G72" i="1"/>
  <c r="G71" i="1"/>
  <c r="N71" i="1" s="1"/>
  <c r="G70" i="1"/>
  <c r="N70" i="1" s="1"/>
  <c r="G69" i="1"/>
  <c r="G68" i="1"/>
  <c r="G67" i="1"/>
  <c r="N67" i="1" s="1"/>
  <c r="G66" i="1"/>
  <c r="N66" i="1" s="1"/>
  <c r="G65" i="1"/>
  <c r="O65" i="1" s="1"/>
  <c r="G64" i="1"/>
  <c r="S64" i="1" s="1"/>
  <c r="G63" i="1"/>
  <c r="G62" i="1"/>
  <c r="O61" i="1"/>
  <c r="G61" i="1"/>
  <c r="N61" i="1" s="1"/>
  <c r="G60" i="1"/>
  <c r="AF59" i="1"/>
  <c r="X59" i="1"/>
  <c r="G59" i="1"/>
  <c r="N59" i="1" s="1"/>
  <c r="AF58" i="1"/>
  <c r="G58" i="1"/>
  <c r="G57" i="1"/>
  <c r="X56" i="1"/>
  <c r="G56" i="1"/>
  <c r="N56" i="1" s="1"/>
  <c r="G55" i="1"/>
  <c r="G54" i="1"/>
  <c r="N54" i="1" s="1"/>
  <c r="G53" i="1"/>
  <c r="G52" i="1"/>
  <c r="G51" i="1"/>
  <c r="P51" i="1" s="1"/>
  <c r="G50" i="1"/>
  <c r="X49" i="1"/>
  <c r="G49" i="1"/>
  <c r="N49" i="1" s="1"/>
  <c r="G48" i="1"/>
  <c r="N48" i="1" s="1"/>
  <c r="Y48" i="1" s="1"/>
  <c r="AB48" i="1" s="1"/>
  <c r="G47" i="1"/>
  <c r="G46" i="1"/>
  <c r="N46" i="1" s="1"/>
  <c r="G45" i="1"/>
  <c r="P44" i="1"/>
  <c r="G44" i="1"/>
  <c r="O44" i="1" s="1"/>
  <c r="G43" i="1"/>
  <c r="S43" i="1" s="1"/>
  <c r="G42" i="1"/>
  <c r="N42" i="1" s="1"/>
  <c r="G41" i="1"/>
  <c r="G40" i="1"/>
  <c r="G39" i="1"/>
  <c r="N39" i="1" s="1"/>
  <c r="G38" i="1"/>
  <c r="G37" i="1"/>
  <c r="N37" i="1" s="1"/>
  <c r="G36" i="1"/>
  <c r="G35" i="1"/>
  <c r="N35" i="1" s="1"/>
  <c r="G34" i="1"/>
  <c r="G33" i="1"/>
  <c r="N33" i="1" s="1"/>
  <c r="G32" i="1"/>
  <c r="G31" i="1"/>
  <c r="N31" i="1" s="1"/>
  <c r="G30" i="1"/>
  <c r="G29" i="1"/>
  <c r="N29" i="1" s="1"/>
  <c r="G28" i="1"/>
  <c r="G27" i="1"/>
  <c r="N27" i="1" s="1"/>
  <c r="G26" i="1"/>
  <c r="S25" i="1"/>
  <c r="G25" i="1"/>
  <c r="L24" i="1"/>
  <c r="G24" i="1"/>
  <c r="S24" i="1" s="1"/>
  <c r="G23" i="1"/>
  <c r="N23" i="1" s="1"/>
  <c r="G22" i="1"/>
  <c r="N22" i="1" s="1"/>
  <c r="W21" i="1"/>
  <c r="G21" i="1"/>
  <c r="P21" i="1" s="1"/>
  <c r="G20" i="1"/>
  <c r="G19" i="1"/>
  <c r="P19" i="1" s="1"/>
  <c r="G18" i="1"/>
  <c r="G17" i="1"/>
  <c r="P17" i="1" s="1"/>
  <c r="G16" i="1"/>
  <c r="G15" i="1"/>
  <c r="P15" i="1" s="1"/>
  <c r="P14" i="1"/>
  <c r="G14" i="1"/>
  <c r="N14" i="1" s="1"/>
  <c r="G13" i="1"/>
  <c r="G12" i="1"/>
  <c r="G11" i="1"/>
  <c r="P11" i="1" s="1"/>
  <c r="G10" i="1"/>
  <c r="P10" i="1" s="1"/>
  <c r="G9" i="1"/>
  <c r="G8" i="1"/>
  <c r="G7" i="1"/>
  <c r="P7" i="1" s="1"/>
  <c r="L6" i="1"/>
  <c r="L86" i="1" s="1"/>
  <c r="G6" i="1"/>
  <c r="O6" i="1" s="1"/>
  <c r="G5" i="1"/>
  <c r="P5" i="1" s="1"/>
  <c r="G4" i="1"/>
  <c r="P4" i="1" s="1"/>
  <c r="W86" i="1" l="1"/>
  <c r="P43" i="1"/>
  <c r="N82" i="1"/>
  <c r="P65" i="1"/>
  <c r="X65" i="1" s="1"/>
  <c r="N10" i="1"/>
  <c r="Y59" i="1"/>
  <c r="AB59" i="1" s="1"/>
  <c r="O46" i="1"/>
  <c r="Y49" i="1"/>
  <c r="AB49" i="1" s="1"/>
  <c r="N51" i="1"/>
  <c r="Y56" i="1"/>
  <c r="AB56" i="1" s="1"/>
  <c r="P61" i="1"/>
  <c r="X61" i="1" s="1"/>
  <c r="Y61" i="1" s="1"/>
  <c r="AB61" i="1" s="1"/>
  <c r="N64" i="1"/>
  <c r="O71" i="1"/>
  <c r="N73" i="1"/>
  <c r="P76" i="1"/>
  <c r="N24" i="1"/>
  <c r="O51" i="1"/>
  <c r="P64" i="1"/>
  <c r="P71" i="1"/>
  <c r="P73" i="1"/>
  <c r="O23" i="1"/>
  <c r="N43" i="1"/>
  <c r="Y43" i="1" s="1"/>
  <c r="AB43" i="1" s="1"/>
  <c r="O54" i="1"/>
  <c r="O70" i="1"/>
  <c r="O77" i="1"/>
  <c r="P80" i="1"/>
  <c r="X80" i="1" s="1"/>
  <c r="Y85" i="1"/>
  <c r="AB85" i="1" s="1"/>
  <c r="S9" i="1"/>
  <c r="O9" i="1"/>
  <c r="S13" i="1"/>
  <c r="O13" i="1"/>
  <c r="O25" i="1"/>
  <c r="P25" i="1"/>
  <c r="N25" i="1"/>
  <c r="N60" i="1"/>
  <c r="O60" i="1"/>
  <c r="S8" i="1"/>
  <c r="O8" i="1"/>
  <c r="N9" i="1"/>
  <c r="S12" i="1"/>
  <c r="O12" i="1"/>
  <c r="N13" i="1"/>
  <c r="S16" i="1"/>
  <c r="O16" i="1"/>
  <c r="N16" i="1"/>
  <c r="S18" i="1"/>
  <c r="O18" i="1"/>
  <c r="N18" i="1"/>
  <c r="S20" i="1"/>
  <c r="O20" i="1"/>
  <c r="N20" i="1"/>
  <c r="S28" i="1"/>
  <c r="P28" i="1"/>
  <c r="O28" i="1"/>
  <c r="S30" i="1"/>
  <c r="P30" i="1"/>
  <c r="O30" i="1"/>
  <c r="S32" i="1"/>
  <c r="P32" i="1"/>
  <c r="O32" i="1"/>
  <c r="S34" i="1"/>
  <c r="P34" i="1"/>
  <c r="O34" i="1"/>
  <c r="S36" i="1"/>
  <c r="P36" i="1"/>
  <c r="O36" i="1"/>
  <c r="S38" i="1"/>
  <c r="P38" i="1"/>
  <c r="O38" i="1"/>
  <c r="N47" i="1"/>
  <c r="O47" i="1"/>
  <c r="O53" i="1"/>
  <c r="P53" i="1"/>
  <c r="O55" i="1"/>
  <c r="N55" i="1"/>
  <c r="P57" i="1"/>
  <c r="O57" i="1"/>
  <c r="O78" i="1"/>
  <c r="N78" i="1"/>
  <c r="N84" i="1"/>
  <c r="S7" i="1"/>
  <c r="O7" i="1"/>
  <c r="N8" i="1"/>
  <c r="P9" i="1"/>
  <c r="S11" i="1"/>
  <c r="O11" i="1"/>
  <c r="X11" i="1" s="1"/>
  <c r="N12" i="1"/>
  <c r="P13" i="1"/>
  <c r="S15" i="1"/>
  <c r="O15" i="1"/>
  <c r="P16" i="1"/>
  <c r="X16" i="1" s="1"/>
  <c r="Y16" i="1" s="1"/>
  <c r="AB16" i="1" s="1"/>
  <c r="P18" i="1"/>
  <c r="P20" i="1"/>
  <c r="S26" i="1"/>
  <c r="P26" i="1"/>
  <c r="N26" i="1"/>
  <c r="N28" i="1"/>
  <c r="N30" i="1"/>
  <c r="N32" i="1"/>
  <c r="N34" i="1"/>
  <c r="N36" i="1"/>
  <c r="N38" i="1"/>
  <c r="S41" i="1"/>
  <c r="P41" i="1"/>
  <c r="N41" i="1"/>
  <c r="N45" i="1"/>
  <c r="O45" i="1"/>
  <c r="N53" i="1"/>
  <c r="P55" i="1"/>
  <c r="N57" i="1"/>
  <c r="S63" i="1"/>
  <c r="P63" i="1"/>
  <c r="O69" i="1"/>
  <c r="P69" i="1"/>
  <c r="N69" i="1"/>
  <c r="P78" i="1"/>
  <c r="N81" i="1"/>
  <c r="O81" i="1"/>
  <c r="N7" i="1"/>
  <c r="P8" i="1"/>
  <c r="S10" i="1"/>
  <c r="O10" i="1"/>
  <c r="N11" i="1"/>
  <c r="P12" i="1"/>
  <c r="S14" i="1"/>
  <c r="O14" i="1"/>
  <c r="N15" i="1"/>
  <c r="S17" i="1"/>
  <c r="O17" i="1"/>
  <c r="X17" i="1" s="1"/>
  <c r="N17" i="1"/>
  <c r="S19" i="1"/>
  <c r="O19" i="1"/>
  <c r="N19" i="1"/>
  <c r="S21" i="1"/>
  <c r="O21" i="1"/>
  <c r="X21" i="1" s="1"/>
  <c r="Y21" i="1" s="1"/>
  <c r="AB21" i="1" s="1"/>
  <c r="N21" i="1"/>
  <c r="S27" i="1"/>
  <c r="P27" i="1"/>
  <c r="O27" i="1"/>
  <c r="X27" i="1" s="1"/>
  <c r="Y27" i="1" s="1"/>
  <c r="AB27" i="1" s="1"/>
  <c r="S29" i="1"/>
  <c r="P29" i="1"/>
  <c r="O29" i="1"/>
  <c r="S31" i="1"/>
  <c r="X31" i="1" s="1"/>
  <c r="Y31" i="1" s="1"/>
  <c r="AB31" i="1" s="1"/>
  <c r="P31" i="1"/>
  <c r="O31" i="1"/>
  <c r="S33" i="1"/>
  <c r="P33" i="1"/>
  <c r="O33" i="1"/>
  <c r="S35" i="1"/>
  <c r="P35" i="1"/>
  <c r="O35" i="1"/>
  <c r="S37" i="1"/>
  <c r="P37" i="1"/>
  <c r="O37" i="1"/>
  <c r="P39" i="1"/>
  <c r="O39" i="1"/>
  <c r="S42" i="1"/>
  <c r="P42" i="1"/>
  <c r="N50" i="1"/>
  <c r="O50" i="1"/>
  <c r="N63" i="1"/>
  <c r="P67" i="1"/>
  <c r="O67" i="1"/>
  <c r="X67" i="1" s="1"/>
  <c r="Y67" i="1" s="1"/>
  <c r="AB67" i="1" s="1"/>
  <c r="X44" i="1"/>
  <c r="O22" i="1"/>
  <c r="N44" i="1"/>
  <c r="N65" i="1"/>
  <c r="O66" i="1"/>
  <c r="N74" i="1"/>
  <c r="X76" i="1"/>
  <c r="Y76" i="1" s="1"/>
  <c r="AB76" i="1" s="1"/>
  <c r="N80" i="1"/>
  <c r="P68" i="1"/>
  <c r="O68" i="1"/>
  <c r="N68" i="1"/>
  <c r="P79" i="1"/>
  <c r="O79" i="1"/>
  <c r="N79" i="1"/>
  <c r="N4" i="1"/>
  <c r="N5" i="1"/>
  <c r="S6" i="1"/>
  <c r="P22" i="1"/>
  <c r="P23" i="1"/>
  <c r="O24" i="1"/>
  <c r="O26" i="1"/>
  <c r="P52" i="1"/>
  <c r="O52" i="1"/>
  <c r="N52" i="1"/>
  <c r="P58" i="1"/>
  <c r="O58" i="1"/>
  <c r="X58" i="1" s="1"/>
  <c r="N58" i="1"/>
  <c r="P72" i="1"/>
  <c r="O72" i="1"/>
  <c r="N72" i="1"/>
  <c r="P83" i="1"/>
  <c r="O83" i="1"/>
  <c r="N83" i="1"/>
  <c r="G86" i="1"/>
  <c r="S4" i="1"/>
  <c r="P6" i="1"/>
  <c r="X6" i="1" s="1"/>
  <c r="P40" i="1"/>
  <c r="O40" i="1"/>
  <c r="N40" i="1"/>
  <c r="N6" i="1"/>
  <c r="S22" i="1"/>
  <c r="S23" i="1"/>
  <c r="P24" i="1"/>
  <c r="S5" i="1"/>
  <c r="O4" i="1"/>
  <c r="X4" i="1" s="1"/>
  <c r="O5" i="1"/>
  <c r="X51" i="1"/>
  <c r="Y51" i="1" s="1"/>
  <c r="AB51" i="1" s="1"/>
  <c r="P62" i="1"/>
  <c r="O62" i="1"/>
  <c r="N62" i="1"/>
  <c r="X71" i="1"/>
  <c r="Y71" i="1" s="1"/>
  <c r="AB71" i="1" s="1"/>
  <c r="P75" i="1"/>
  <c r="O75" i="1"/>
  <c r="N75" i="1"/>
  <c r="X82" i="1"/>
  <c r="Y82" i="1" s="1"/>
  <c r="AB82" i="1" s="1"/>
  <c r="O41" i="1"/>
  <c r="O42" i="1"/>
  <c r="O43" i="1"/>
  <c r="X43" i="1" s="1"/>
  <c r="P45" i="1"/>
  <c r="P46" i="1"/>
  <c r="P47" i="1"/>
  <c r="P50" i="1"/>
  <c r="X50" i="1" s="1"/>
  <c r="P54" i="1"/>
  <c r="X54" i="1" s="1"/>
  <c r="Y54" i="1" s="1"/>
  <c r="AB54" i="1" s="1"/>
  <c r="P60" i="1"/>
  <c r="O63" i="1"/>
  <c r="O64" i="1"/>
  <c r="P66" i="1"/>
  <c r="X66" i="1" s="1"/>
  <c r="Y66" i="1" s="1"/>
  <c r="AB66" i="1" s="1"/>
  <c r="P70" i="1"/>
  <c r="O73" i="1"/>
  <c r="X73" i="1" s="1"/>
  <c r="Y73" i="1" s="1"/>
  <c r="AB73" i="1" s="1"/>
  <c r="O74" i="1"/>
  <c r="X74" i="1" s="1"/>
  <c r="P77" i="1"/>
  <c r="X77" i="1" s="1"/>
  <c r="Y77" i="1" s="1"/>
  <c r="AB77" i="1" s="1"/>
  <c r="P81" i="1"/>
  <c r="X81" i="1" s="1"/>
  <c r="Y81" i="1" s="1"/>
  <c r="AB81" i="1" s="1"/>
  <c r="O84" i="1"/>
  <c r="X84" i="1" s="1"/>
  <c r="Y84" i="1" s="1"/>
  <c r="AB84" i="1" s="1"/>
  <c r="S45" i="1"/>
  <c r="S46" i="1"/>
  <c r="X70" i="1" l="1"/>
  <c r="Y70" i="1" s="1"/>
  <c r="AB70" i="1" s="1"/>
  <c r="Y11" i="1"/>
  <c r="AB11" i="1" s="1"/>
  <c r="X45" i="1"/>
  <c r="Y45" i="1" s="1"/>
  <c r="AB45" i="1" s="1"/>
  <c r="Y17" i="1"/>
  <c r="AB17" i="1" s="1"/>
  <c r="X20" i="1"/>
  <c r="Y65" i="1"/>
  <c r="AB65" i="1" s="1"/>
  <c r="X57" i="1"/>
  <c r="Y57" i="1" s="1"/>
  <c r="AB57" i="1" s="1"/>
  <c r="X53" i="1"/>
  <c r="X36" i="1"/>
  <c r="X46" i="1"/>
  <c r="Y46" i="1" s="1"/>
  <c r="AB46" i="1" s="1"/>
  <c r="X64" i="1"/>
  <c r="Y64" i="1" s="1"/>
  <c r="AB64" i="1" s="1"/>
  <c r="X83" i="1"/>
  <c r="Y83" i="1" s="1"/>
  <c r="AB83" i="1" s="1"/>
  <c r="X26" i="1"/>
  <c r="Y26" i="1" s="1"/>
  <c r="AB26" i="1" s="1"/>
  <c r="X79" i="1"/>
  <c r="X14" i="1"/>
  <c r="Y14" i="1" s="1"/>
  <c r="AB14" i="1" s="1"/>
  <c r="X10" i="1"/>
  <c r="Y10" i="1" s="1"/>
  <c r="AB10" i="1" s="1"/>
  <c r="X15" i="1"/>
  <c r="X7" i="1"/>
  <c r="X78" i="1"/>
  <c r="Y78" i="1" s="1"/>
  <c r="AB78" i="1" s="1"/>
  <c r="Y20" i="1"/>
  <c r="AB20" i="1" s="1"/>
  <c r="Y15" i="1"/>
  <c r="AB15" i="1" s="1"/>
  <c r="Y7" i="1"/>
  <c r="AB7" i="1" s="1"/>
  <c r="Y36" i="1"/>
  <c r="AB36" i="1" s="1"/>
  <c r="Y58" i="1"/>
  <c r="AB58" i="1" s="1"/>
  <c r="X52" i="1"/>
  <c r="X19" i="1"/>
  <c r="Y19" i="1" s="1"/>
  <c r="AB19" i="1" s="1"/>
  <c r="Y74" i="1"/>
  <c r="AB74" i="1" s="1"/>
  <c r="Y50" i="1"/>
  <c r="AB50" i="1" s="1"/>
  <c r="X33" i="1"/>
  <c r="Y33" i="1" s="1"/>
  <c r="AB33" i="1" s="1"/>
  <c r="X38" i="1"/>
  <c r="Y38" i="1" s="1"/>
  <c r="AB38" i="1" s="1"/>
  <c r="X30" i="1"/>
  <c r="Y30" i="1" s="1"/>
  <c r="AB30" i="1" s="1"/>
  <c r="X63" i="1"/>
  <c r="Y63" i="1" s="1"/>
  <c r="AB63" i="1" s="1"/>
  <c r="X47" i="1"/>
  <c r="Y47" i="1" s="1"/>
  <c r="AB47" i="1" s="1"/>
  <c r="X42" i="1"/>
  <c r="Y42" i="1" s="1"/>
  <c r="AB42" i="1" s="1"/>
  <c r="X23" i="1"/>
  <c r="Y23" i="1" s="1"/>
  <c r="AB23" i="1" s="1"/>
  <c r="Y80" i="1"/>
  <c r="AB80" i="1" s="1"/>
  <c r="X35" i="1"/>
  <c r="Y35" i="1" s="1"/>
  <c r="AB35" i="1" s="1"/>
  <c r="X69" i="1"/>
  <c r="Y69" i="1" s="1"/>
  <c r="AB69" i="1" s="1"/>
  <c r="X55" i="1"/>
  <c r="Y55" i="1" s="1"/>
  <c r="AB55" i="1" s="1"/>
  <c r="X32" i="1"/>
  <c r="Y32" i="1" s="1"/>
  <c r="AB32" i="1" s="1"/>
  <c r="X25" i="1"/>
  <c r="Y25" i="1" s="1"/>
  <c r="AB25" i="1" s="1"/>
  <c r="X60" i="1"/>
  <c r="Y60" i="1" s="1"/>
  <c r="AB60" i="1" s="1"/>
  <c r="X41" i="1"/>
  <c r="Y41" i="1" s="1"/>
  <c r="AB41" i="1" s="1"/>
  <c r="X62" i="1"/>
  <c r="X22" i="1"/>
  <c r="Y22" i="1" s="1"/>
  <c r="AB22" i="1" s="1"/>
  <c r="Y79" i="1"/>
  <c r="AB79" i="1" s="1"/>
  <c r="X68" i="1"/>
  <c r="Y44" i="1"/>
  <c r="AB44" i="1" s="1"/>
  <c r="X39" i="1"/>
  <c r="Y39" i="1" s="1"/>
  <c r="AB39" i="1" s="1"/>
  <c r="X37" i="1"/>
  <c r="Y37" i="1" s="1"/>
  <c r="AB37" i="1" s="1"/>
  <c r="X29" i="1"/>
  <c r="Y29" i="1" s="1"/>
  <c r="AB29" i="1" s="1"/>
  <c r="X12" i="1"/>
  <c r="Y12" i="1" s="1"/>
  <c r="AB12" i="1" s="1"/>
  <c r="X8" i="1"/>
  <c r="Y8" i="1" s="1"/>
  <c r="AB8" i="1" s="1"/>
  <c r="Y53" i="1"/>
  <c r="AB53" i="1" s="1"/>
  <c r="X18" i="1"/>
  <c r="Y18" i="1" s="1"/>
  <c r="AB18" i="1" s="1"/>
  <c r="X13" i="1"/>
  <c r="Y13" i="1" s="1"/>
  <c r="AB13" i="1" s="1"/>
  <c r="X9" i="1"/>
  <c r="Y9" i="1" s="1"/>
  <c r="AB9" i="1" s="1"/>
  <c r="X34" i="1"/>
  <c r="Y34" i="1" s="1"/>
  <c r="AB34" i="1" s="1"/>
  <c r="X28" i="1"/>
  <c r="Y28" i="1" s="1"/>
  <c r="AB28" i="1" s="1"/>
  <c r="S86" i="1"/>
  <c r="X72" i="1"/>
  <c r="Y72" i="1" s="1"/>
  <c r="AB72" i="1" s="1"/>
  <c r="X24" i="1"/>
  <c r="Y24" i="1" s="1"/>
  <c r="AB24" i="1" s="1"/>
  <c r="N86" i="1"/>
  <c r="P86" i="1"/>
  <c r="O86" i="1"/>
  <c r="X5" i="1"/>
  <c r="Y5" i="1" s="1"/>
  <c r="AB5" i="1" s="1"/>
  <c r="Y6" i="1"/>
  <c r="AB6" i="1" s="1"/>
  <c r="X75" i="1"/>
  <c r="Y75" i="1" s="1"/>
  <c r="AB75" i="1" s="1"/>
  <c r="Y62" i="1"/>
  <c r="AB62" i="1" s="1"/>
  <c r="X40" i="1"/>
  <c r="Y40" i="1" s="1"/>
  <c r="AB40" i="1" s="1"/>
  <c r="Y52" i="1"/>
  <c r="AB52" i="1" s="1"/>
  <c r="Y4" i="1"/>
  <c r="Y68" i="1"/>
  <c r="AB68" i="1" s="1"/>
  <c r="X86" i="1" l="1"/>
  <c r="Y86" i="1"/>
  <c r="AB4" i="1"/>
  <c r="AB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5" authorId="0" shapeId="0" xr:uid="{C70FECF5-A645-4897-B273-936BF920F4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libranza
</t>
        </r>
      </text>
    </comment>
    <comment ref="W63" authorId="0" shapeId="0" xr:uid="{A437ECAB-6D9E-4FB0-99FB-53859759BFD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prestamo libranza</t>
        </r>
      </text>
    </comment>
    <comment ref="W67" authorId="0" shapeId="0" xr:uid="{401FE59D-2A3C-423F-A584-9AE83402E0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primera cuota libranza</t>
        </r>
      </text>
    </comment>
    <comment ref="W74" authorId="0" shapeId="0" xr:uid="{183EA189-41B7-41ED-99CC-2C273777316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Cuota credito carro sebastian. 887,544 y segunda cuota prestamo</t>
        </r>
      </text>
    </comment>
  </commentList>
</comments>
</file>

<file path=xl/sharedStrings.xml><?xml version="1.0" encoding="utf-8"?>
<sst xmlns="http://schemas.openxmlformats.org/spreadsheetml/2006/main" count="2739" uniqueCount="239">
  <si>
    <t>PLANILLA DE NOMINA EXSIS SOFTWARE DE ENERO DE 2016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</si>
  <si>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</si>
  <si>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</si>
  <si>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</si>
  <si>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</si>
  <si>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</si>
  <si>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</si>
  <si>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</si>
  <si>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</si>
  <si>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</si>
  <si>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</si>
  <si>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</si>
  <si>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BONIFICACION</t>
  </si>
  <si>
    <t>PRESTAMOS</t>
  </si>
  <si>
    <t>VACACIONES ANTICIPADAS</t>
  </si>
  <si>
    <t>Auxilios</t>
  </si>
  <si>
    <t>INT/CESANTIAS</t>
  </si>
  <si>
    <t>Devengos</t>
  </si>
  <si>
    <t>Salud</t>
  </si>
  <si>
    <t>Pensiòn</t>
  </si>
  <si>
    <t>Cooperativa</t>
  </si>
  <si>
    <t>AJUSTE RETENCION  ENERO</t>
  </si>
  <si>
    <t>1% FONDO DE SOLIDARIDA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</si>
  <si>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</si>
  <si>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</si>
  <si>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</si>
  <si>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</si>
  <si>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</si>
  <si>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</si>
  <si>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</si>
  <si>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CORREOS</t>
  </si>
  <si>
    <t>ADRIANA CUELLAR JIMENEZ</t>
  </si>
  <si>
    <t>NOMINA</t>
  </si>
  <si>
    <t>alberto.almario2@acegroup.com</t>
  </si>
  <si>
    <t>ALBERTO ALBEIRO ALMARIO VALBUENA</t>
  </si>
  <si>
    <t>ALEJANDRO TOVAR ALVARADO</t>
  </si>
  <si>
    <t>ANA LUCIA ARBELAEZ BARBOSA</t>
  </si>
  <si>
    <t>ana.arbelaez@acegroup.com</t>
  </si>
  <si>
    <t>ANDRES HERRERA MALDONADO</t>
  </si>
  <si>
    <t>andresherreram@gmail.com</t>
  </si>
  <si>
    <t>ANGELA ENITH RODRGUEZ MORENO</t>
  </si>
  <si>
    <t>ANGELA VIVIANA ACOSTA ZAMUNDIO</t>
  </si>
  <si>
    <t>AURORA VARGAS MORENO</t>
  </si>
  <si>
    <t>aurora.vargasmoreno@gmail.com</t>
  </si>
  <si>
    <t>CARMEN ALEIDA QUINTERO REYES</t>
  </si>
  <si>
    <t>caalqure@msn.com</t>
  </si>
  <si>
    <t>CARLOS ALBERTO ESPINOSA BELTRAN</t>
  </si>
  <si>
    <t>DIANA YINETH MONTERO</t>
  </si>
  <si>
    <t>dianita0516@gmail.com</t>
  </si>
  <si>
    <t>GUSTAVO IGNACIO MAGGI WULFF</t>
  </si>
  <si>
    <t>gmaggiw@gmail.com</t>
  </si>
  <si>
    <t>HAROLD STEVEN  ARENAS CHAVEZ</t>
  </si>
  <si>
    <t>HEILLER GARCIA ARIAS</t>
  </si>
  <si>
    <t>heillergarcia@hotmail.com</t>
  </si>
  <si>
    <t>HECTOR GERMAN CHAPARRO RODRIGUEZ</t>
  </si>
  <si>
    <t>german.chaparro.co@gmail.com</t>
  </si>
  <si>
    <t>JAIME CARLOS SANMARTIN DAZA</t>
  </si>
  <si>
    <t>carsan1985@gmail.com</t>
  </si>
  <si>
    <t>JAIRO ALDERRAMA ROZO</t>
  </si>
  <si>
    <t>JIMMY ALEXANDER CIFUENTES</t>
  </si>
  <si>
    <t>jimmycifuentes@gmail.com</t>
  </si>
  <si>
    <t>JOHANA KARINA PELAEZ PUENTES</t>
  </si>
  <si>
    <t>JUAN CAMILO MENDIETA SILVA</t>
  </si>
  <si>
    <t>juancamilo018@gmail.com</t>
  </si>
  <si>
    <t>JUAN CAMILO MOYA MUÑOZ</t>
  </si>
  <si>
    <t>JUAN RAMON BELTRAN ALFARO</t>
  </si>
  <si>
    <t>juadiacla@gmail.com</t>
  </si>
  <si>
    <t>JULIAN ANDRES RAMIREZ CELIS</t>
  </si>
  <si>
    <t>ILBA ELENA MONTES DURANGO</t>
  </si>
  <si>
    <t>LEONEL SIERRA MARTINEZ</t>
  </si>
  <si>
    <t>leonel.sierra@gmail.com</t>
  </si>
  <si>
    <t>LILIANA DEL PILAR HERNANDEZ BAEZ</t>
  </si>
  <si>
    <t>LUDWIG JOHAN LARROTA ROJAS</t>
  </si>
  <si>
    <t>ludwlb.larrota@acegroup.com</t>
  </si>
  <si>
    <t>LUIS ALFONSO ROZO SABOGAL</t>
  </si>
  <si>
    <t>luis.rozo@acegroup.com</t>
  </si>
  <si>
    <t xml:space="preserve">LUIS DANIEL HERRERA MALDONADO </t>
  </si>
  <si>
    <t>ildherreram@gmail.com</t>
  </si>
  <si>
    <t>ORLANDO SUAREZ LABOTON</t>
  </si>
  <si>
    <t>roger54ba@gmail.com</t>
  </si>
  <si>
    <t>LUIS IVAN GONZALEZ SANTIAGO</t>
  </si>
  <si>
    <t>ligonzalezs@hotmail.com</t>
  </si>
  <si>
    <t>MANUELA RODRIGUEZ BENITEZ</t>
  </si>
  <si>
    <t>mrodri09@gmail.com</t>
  </si>
  <si>
    <t>MANUEL ANDRES BENAVIDEZ DIAZ</t>
  </si>
  <si>
    <t>MANUEL EDUARDO HERNANDEZ RODRIGUEZ</t>
  </si>
  <si>
    <t>edohdzrdz@hotmail.com</t>
  </si>
  <si>
    <t>OSCAR JAVIER GONZALEZ HERRERA</t>
  </si>
  <si>
    <t>RICARDO JAVIER ESTRADA SANCHEZ</t>
  </si>
  <si>
    <t>ROBERTO JOSE DUQUE DIASGRANADOS</t>
  </si>
  <si>
    <t>ROGER BARRIOS AMOROCHO</t>
  </si>
  <si>
    <t>LUIS ERNESTO RODRIGUEZ ALDANA</t>
  </si>
  <si>
    <t xml:space="preserve">NYDIA CASTILBLANCO MARIN </t>
  </si>
  <si>
    <t>nycas02@hotmail.com</t>
  </si>
  <si>
    <t>SERGIO BAYARDO CORDOBA</t>
  </si>
  <si>
    <t>sergiobayardo@gmail.com</t>
  </si>
  <si>
    <t>TICSIANA LORENA CARRILLO</t>
  </si>
  <si>
    <t>ticsiana.carrillo@acegroup.com</t>
  </si>
  <si>
    <t>WILLIAM JOSE VIVAS ESCALANTE</t>
  </si>
  <si>
    <t>EXSIS</t>
  </si>
  <si>
    <t>ANA MARCELA PEÑA MURALLAS</t>
  </si>
  <si>
    <t>marcela.murallas@exsis.com.co</t>
  </si>
  <si>
    <t>ARIANA VALENTINA JIMENEZ PEDRAZA</t>
  </si>
  <si>
    <t>ANDREA TATIANA ACEVEDO CASTAÑEDA</t>
  </si>
  <si>
    <t>BRENDA AGUACIA BENITEZ</t>
  </si>
  <si>
    <t xml:space="preserve">NOMINA </t>
  </si>
  <si>
    <t>CINDY VIVIANA MENDOZA VILLATE</t>
  </si>
  <si>
    <t>CRISTHIAN FELIPE GUERRERO PINEROS</t>
  </si>
  <si>
    <t>cristhian.guerrero@exsis.com.co</t>
  </si>
  <si>
    <t>DAVID ENRIQUE MAHECHA SARMIENTO</t>
  </si>
  <si>
    <t>david.mahecha@exsis.com.co</t>
  </si>
  <si>
    <t>DAVID OBREGON SANCHEZ</t>
  </si>
  <si>
    <t>david.obregon@exsis.com.co</t>
  </si>
  <si>
    <t>DIEGO MAURICIO ORTIZ PARADA</t>
  </si>
  <si>
    <t>diego.ortiz@exsis.com.co</t>
  </si>
  <si>
    <t>DULIETH SANCHEZ PINTO</t>
  </si>
  <si>
    <t>EDWAR CAMILO LONDOÑO SANCHEZ</t>
  </si>
  <si>
    <t>camilo.londono@exsis.com.co</t>
  </si>
  <si>
    <t>GERARDO ENRIQUE MENDEZ RAIGOSO</t>
  </si>
  <si>
    <t>gerardo.mendez@exsis.com.co</t>
  </si>
  <si>
    <t>JEAN JAVIER ORTIZ HENAO</t>
  </si>
  <si>
    <t xml:space="preserve">JEISON GABRIEL MARTINEZ BUSTOS </t>
  </si>
  <si>
    <t>JESSICA PAOLA NEGRETE MONTES</t>
  </si>
  <si>
    <t>jessica.negrete@exsis.com.co</t>
  </si>
  <si>
    <t>JOHANN ARLEY BRIÑEZ TRIANA</t>
  </si>
  <si>
    <t>johann.brinez@exsis.com.co</t>
  </si>
  <si>
    <t>JHON DAVID CARVAJAL</t>
  </si>
  <si>
    <t>ing.jdavid87@gmail.com</t>
  </si>
  <si>
    <t>JONATHAN MEZA SANTOS</t>
  </si>
  <si>
    <t>jams2411@gmail.com</t>
  </si>
  <si>
    <t>+</t>
  </si>
  <si>
    <t>JUAN CAMILO LARA LEON</t>
  </si>
  <si>
    <t>camilo.lara@exsis.com.co</t>
  </si>
  <si>
    <t>JULIAN DAVID LOZANO CARDOZO</t>
  </si>
  <si>
    <t>julian.lozano@exsis.com.co</t>
  </si>
  <si>
    <t>KATTYA ALEXANDRA PEÑA NIETO</t>
  </si>
  <si>
    <t>kattya.pena@exsis.com.co</t>
  </si>
  <si>
    <t>LORENA PINZON CRUZ</t>
  </si>
  <si>
    <t>LUISA FERNANDA GALINDO HIGUERA</t>
  </si>
  <si>
    <t>luisa.galindo@exsis.com.co</t>
  </si>
  <si>
    <t>MANUEL FERNANDO MENDEZ CARDOSO</t>
  </si>
  <si>
    <t>manuel.mendez@exsis.com.co</t>
  </si>
  <si>
    <t>MAIRA ALEJANDRA CLARO ROPERO</t>
  </si>
  <si>
    <t>maira.claro@exsis.com.co</t>
  </si>
  <si>
    <t>MARIA TRANSITO PULIDO PARRA</t>
  </si>
  <si>
    <t>m.transi.pulido@hotmail.com</t>
  </si>
  <si>
    <t>MIGUEL ANGEL JIMENEZ NUÑEZ</t>
  </si>
  <si>
    <t>miguel.jimenez@exsis.com.co</t>
  </si>
  <si>
    <t>MIGUEL SEBASTIAN JIMENEZ</t>
  </si>
  <si>
    <t>sbastian.jimenez@gmail.com</t>
  </si>
  <si>
    <t>NELSON JAVIER PINZON LOPEZ</t>
  </si>
  <si>
    <t>nelson.pinzon@exsis.com.co</t>
  </si>
  <si>
    <t>NESTOR FABIAN CASTILLO ROZO</t>
  </si>
  <si>
    <t>nestor.castillo@exsis.com.co</t>
  </si>
  <si>
    <t>RONALD ANTONY ROJAS FORIGUA</t>
  </si>
  <si>
    <t>OSCAR HERNAN PEREZ VILLALOBOS</t>
  </si>
  <si>
    <t>perezvillalobos@gmail.com</t>
  </si>
  <si>
    <t>OSCAR IVAN VIVAS REINOSO</t>
  </si>
  <si>
    <t>ctmsistemas@hotmail.com</t>
  </si>
  <si>
    <t>SANTIAGO ALVAREZ PORRAS</t>
  </si>
  <si>
    <t>santiago.alvarez@exsis.com.co</t>
  </si>
  <si>
    <t xml:space="preserve">SANTIAGO JIMENEZ PEDRAZA </t>
  </si>
  <si>
    <t>santiago.jimenez.pedraza@gmail.com</t>
  </si>
  <si>
    <t>SERGIO ALEXIS RODRIGUEZ VASQUEZ</t>
  </si>
  <si>
    <t>sergio.vasquez@exsis.com.co</t>
  </si>
  <si>
    <t>TULIO ESTEBAN JIMENEZ VILLANUEVA</t>
  </si>
  <si>
    <t>YULIETH MILENA SANDOVAL MARTINEZ</t>
  </si>
  <si>
    <t>yulieth.sandoval@exsis.com.co</t>
  </si>
  <si>
    <t>VINCETL HERNANDO GUERRERO MENDEZ</t>
  </si>
  <si>
    <t>TOTALES</t>
  </si>
  <si>
    <t>PLANILLA DE NOMINA EXSIS SOFTWARE DE FEBRERO DE 2016</t>
  </si>
  <si>
    <t>PENSION+ FONDO DE SOLIDARIDAD</t>
  </si>
  <si>
    <t>FREDY EDISON PINZON NOGUERA</t>
  </si>
  <si>
    <t>kATERINE PAOLA DEL VALLE PAEZ</t>
  </si>
  <si>
    <t>neryskate@hotmail.com</t>
  </si>
  <si>
    <t>RAFAEL LEONARDO GONZALEZ CELIS</t>
  </si>
  <si>
    <t>YOHANA GISELIDA SUAREZ CASTILLO</t>
  </si>
  <si>
    <t>PLANILLA DE NOMINA EXSIS SOFTWARE DE MARZO DE 2016</t>
  </si>
  <si>
    <t>VACACIONES</t>
  </si>
  <si>
    <t>ADRIANA CUELLAR JIMENEZC4C4:M31</t>
  </si>
  <si>
    <t>ANGEL JULIAN  GONZALEZ PINZON</t>
  </si>
  <si>
    <t>BRAYAN JULIAN CORREDOR PUENTES</t>
  </si>
  <si>
    <t>CLARA ISABEL PEDRAZA RUEDA</t>
  </si>
  <si>
    <t>HAROLD ANDRES CASTILLO</t>
  </si>
  <si>
    <t>OSCAR ALFONSO FERNANDEZ OSPINA</t>
  </si>
  <si>
    <t>PLANILLA DE NOMINA EXSIS SOFTWARE DE ABRIL DE 2016</t>
  </si>
  <si>
    <t>DESCUENTO BRIGADA DE SALUD GAFAS</t>
  </si>
  <si>
    <t>DESCUENTOS VARIOS</t>
  </si>
  <si>
    <t>HILDA LORENA GIAMMARIA FLORES</t>
  </si>
  <si>
    <t>LEONARDO ARMERO BARBOSA</t>
  </si>
  <si>
    <t>PLABLO ANDRES LINARES MURCIA</t>
  </si>
  <si>
    <t>PLANILLA DE NOMINA EXSIS SOFTWARE DE MAYO DE 2016</t>
  </si>
  <si>
    <t>JAIRO ERNESTO MALAGON GAITAN</t>
  </si>
  <si>
    <t>OTTO DARLING NIETO GUERRERO</t>
  </si>
  <si>
    <t>CLAUDIA IRENE GAONA SANDOVAL</t>
  </si>
  <si>
    <t>CRISTHIAN CAMILO JIMENEZ VARON</t>
  </si>
  <si>
    <t>IVAN DARIO CADENA CANTILLO</t>
  </si>
  <si>
    <t>PABLO ANDRES LINARES MURCIA</t>
  </si>
  <si>
    <t>DESCUENTO NESTLE</t>
  </si>
  <si>
    <t>DIEGO ANDRES MONCADA VEGA</t>
  </si>
  <si>
    <t>EDGAR ALEXANDER ESPINOSA GONZALEZ</t>
  </si>
  <si>
    <t>DANIELA MALDONADO CASTRO</t>
  </si>
  <si>
    <t>PLANILLA DE NOMINA EXSIS SOFTWARE DE JULIO DE 2016</t>
  </si>
  <si>
    <t>JOSE ANDRES MENESES QUINTERO</t>
  </si>
  <si>
    <t>ELVER YESID MELO MONROY</t>
  </si>
  <si>
    <t>JHOAN ANDRES MELO PEREZ</t>
  </si>
  <si>
    <t>JUAN SEBASTIAN JIMENEZ ACOSTA</t>
  </si>
  <si>
    <t>SERGIO ANDRES RODRIGUEZ RODRIGUEZ</t>
  </si>
  <si>
    <t>PLANILLA DE NOMINA EXSIS SOFTWARE DE AGOSTO DE 2016</t>
  </si>
  <si>
    <t>DAVID ALEXANDER OCAMPO</t>
  </si>
  <si>
    <t>GIPSY YEPES FONTECHA</t>
  </si>
  <si>
    <t>PLANILLA DE NOMINA EXSIS SOFTWARE DE SEPTIEMBRE DE 2016</t>
  </si>
  <si>
    <t>CHABELI GINETH SINISTERRA PUSSEY</t>
  </si>
  <si>
    <t>FREDY MAURICIO NAVARRETE MOLANO</t>
  </si>
  <si>
    <t>JOSE JAVIER SASTOQUE SANCHEZ</t>
  </si>
  <si>
    <t>JULIAN SEBASTIAN PEÑA CASTELLANOS</t>
  </si>
  <si>
    <t>MANUEL FERNANDO MUÑOZ GARCES</t>
  </si>
  <si>
    <t>PLANILLA DE NOMINA EXSIS SOFTWARE DE OCTUBRE DE 2016</t>
  </si>
  <si>
    <t>DESCUENTO NESTLE O CARRERA UNICEF</t>
  </si>
  <si>
    <t>JOSE RAFAEL GOMEZ GONZALEZ</t>
  </si>
  <si>
    <t>MIRIAM BERMEO PARRA</t>
  </si>
  <si>
    <t>FABIO ANDRES ROA GARCIA</t>
  </si>
  <si>
    <t>JUAN DAVID MONROY</t>
  </si>
  <si>
    <t>PLANILLA DE NOMINA EXSIS SOFTWARE DE NOVIEMBRE DE 2016</t>
  </si>
  <si>
    <t>ANA ISABEL HIGUITA VALENCIA</t>
  </si>
  <si>
    <t>CARLOS ENRIQUE MENDEZ CUENTAS</t>
  </si>
  <si>
    <t>EDISON DAVID TORRES RUIZ</t>
  </si>
  <si>
    <t>ELEONORA PEÑA RODRIGUEZ</t>
  </si>
  <si>
    <t>HAROLD STEVEN ARENAS CHAVEZ</t>
  </si>
  <si>
    <t>JAVIER CRUZ RODRIGUEZ</t>
  </si>
  <si>
    <t>JUAN PABLO VIVAS REINOSO</t>
  </si>
  <si>
    <t>MARTHA NUBIA GONZALEZ RINCON</t>
  </si>
  <si>
    <t>MONICA JULIETH SANCHEZ FUENTES</t>
  </si>
  <si>
    <t>ALVARO JAVIER BARBOSA</t>
  </si>
  <si>
    <t>HAYLIN NAYIBE NIETO MORALES</t>
  </si>
  <si>
    <t>PLANILLA DE NOMINA EXSIS SOFTWARE DE DICIEMBRE DE 2016</t>
  </si>
  <si>
    <t xml:space="preserve">OSCAR DAVID ERNESTO VEGA BONILLA </t>
  </si>
  <si>
    <t>RAMON ANTONIO SUAREZ BUITRAGO</t>
  </si>
  <si>
    <t>MIGUEL ANGEL HERRERA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</si>
</sst>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u/>
      <sz val="11"/>
      <name val="Arial"/>
      <family val="2"/>
    </font>
    <font>
      <u/>
      <sz val="7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u/>
      <sz val="11"/>
      <name val="Arial Narrow"/>
      <family val="2"/>
    </font>
    <font>
      <sz val="9"/>
      <name val="Arial Narrow"/>
      <family val="2"/>
    </font>
    <font>
      <u/>
      <sz val="7"/>
      <name val="Arial Narrow"/>
      <family val="2"/>
    </font>
    <font>
      <u/>
      <sz val="11"/>
      <name val="Calibri"/>
      <family val="2"/>
      <scheme val="minor"/>
    </font>
    <font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0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3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164" fontId="7" fillId="0" borderId="0" xfId="2" applyNumberFormat="1" applyFont="1" applyFill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2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45"/>
    </xf>
    <xf numFmtId="3" fontId="7" fillId="0" borderId="1" xfId="0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0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8" fillId="0" borderId="1" xfId="2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45"/>
    </xf>
    <xf numFmtId="3" fontId="8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4" fontId="8" fillId="0" borderId="0" xfId="2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4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8" fillId="0" borderId="0" xfId="2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 wrapText="1"/>
    </xf>
    <xf numFmtId="3" fontId="8" fillId="0" borderId="0" xfId="2" applyNumberFormat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 wrapText="1"/>
    </xf>
    <xf numFmtId="166" fontId="8" fillId="3" borderId="0" xfId="1" applyNumberFormat="1" applyFont="1" applyFill="1" applyBorder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 wrapText="1"/>
    </xf>
    <xf numFmtId="3" fontId="8" fillId="3" borderId="0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/>
    </xf>
    <xf numFmtId="165" fontId="8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/>
    </xf>
    <xf numFmtId="0" fontId="11" fillId="0" borderId="0" xfId="3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horizontal="left" vertical="center"/>
    </xf>
    <xf numFmtId="0" fontId="11" fillId="0" borderId="1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textRotation="45"/>
    </xf>
    <xf numFmtId="165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4" fontId="6" fillId="0" borderId="0" xfId="2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166" fontId="6" fillId="0" borderId="0" xfId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2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13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164" fontId="13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/>
    </xf>
    <xf numFmtId="3" fontId="13" fillId="0" borderId="1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/>
    </xf>
    <xf numFmtId="0" fontId="16" fillId="0" borderId="0" xfId="0" applyFont="1" applyFill="1" applyAlignment="1">
      <alignment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 textRotation="45"/>
    </xf>
    <xf numFmtId="165" fontId="14" fillId="0" borderId="1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Alignment="1">
      <alignment horizontal="center" vertical="center"/>
    </xf>
    <xf numFmtId="165" fontId="14" fillId="0" borderId="0" xfId="0" applyNumberFormat="1" applyFont="1" applyFill="1" applyAlignment="1">
      <alignment horizontal="center" vertical="center"/>
    </xf>
    <xf numFmtId="164" fontId="14" fillId="0" borderId="0" xfId="2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5" fontId="14" fillId="0" borderId="0" xfId="0" applyNumberFormat="1" applyFont="1" applyFill="1" applyBorder="1" applyAlignment="1">
      <alignment horizontal="left" vertical="center"/>
    </xf>
    <xf numFmtId="165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14" fillId="0" borderId="0" xfId="2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166" fontId="14" fillId="0" borderId="0" xfId="1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4" fillId="0" borderId="0" xfId="2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8" fillId="0" borderId="1" xfId="3" applyFont="1" applyFill="1" applyBorder="1" applyAlignment="1">
      <alignment horizontal="left"/>
    </xf>
    <xf numFmtId="0" fontId="19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textRotation="45"/>
    </xf>
    <xf numFmtId="0" fontId="13" fillId="0" borderId="4" xfId="0" applyFont="1" applyFill="1" applyBorder="1" applyAlignment="1">
      <alignment horizontal="center" vertical="center" textRotation="45"/>
    </xf>
    <xf numFmtId="0" fontId="13" fillId="0" borderId="6" xfId="0" applyFont="1" applyFill="1" applyBorder="1" applyAlignment="1">
      <alignment horizontal="center" vertical="center" textRotation="45"/>
    </xf>
    <xf numFmtId="0" fontId="13" fillId="0" borderId="1" xfId="0" applyFont="1" applyFill="1" applyBorder="1" applyAlignment="1">
      <alignment horizontal="center" vertical="center" textRotation="45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6" xfId="0" applyFont="1" applyFill="1" applyBorder="1" applyAlignment="1">
      <alignment horizontal="center" vertical="center" textRotation="45"/>
    </xf>
    <xf numFmtId="0" fontId="5" fillId="0" borderId="1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textRotation="45"/>
    </xf>
    <xf numFmtId="0" fontId="8" fillId="0" borderId="4" xfId="0" applyFont="1" applyFill="1" applyBorder="1" applyAlignment="1">
      <alignment horizontal="center" vertical="center" textRotation="45"/>
    </xf>
    <xf numFmtId="0" fontId="8" fillId="0" borderId="6" xfId="0" applyFont="1" applyFill="1" applyBorder="1" applyAlignment="1">
      <alignment horizontal="center" vertical="center" textRotation="45"/>
    </xf>
    <xf numFmtId="0" fontId="8" fillId="0" borderId="1" xfId="0" applyFont="1" applyFill="1" applyBorder="1" applyAlignment="1">
      <alignment horizontal="center" vertical="center" textRotation="45"/>
    </xf>
    <xf numFmtId="0" fontId="8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textRotation="45"/>
    </xf>
    <xf numFmtId="0" fontId="7" fillId="0" borderId="4" xfId="0" applyFont="1" applyFill="1" applyBorder="1" applyAlignment="1">
      <alignment horizontal="center" vertical="center" textRotation="45"/>
    </xf>
    <xf numFmtId="0" fontId="7" fillId="0" borderId="6" xfId="0" applyFont="1" applyFill="1" applyBorder="1" applyAlignment="1">
      <alignment horizontal="center" vertical="center" textRotation="45"/>
    </xf>
    <xf numFmtId="0" fontId="7" fillId="0" borderId="1" xfId="0" applyFont="1" applyFill="1" applyBorder="1" applyAlignment="1">
      <alignment horizontal="center" vertical="center" textRotation="45"/>
    </xf>
    <xf numFmtId="0" fontId="7" fillId="0" borderId="0" xfId="0" applyFont="1" applyFill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guel.jimenez@exsis.com.co" TargetMode="External"/><Relationship Id="rId18" Type="http://schemas.openxmlformats.org/officeDocument/2006/relationships/hyperlink" Target="mailto:jams2411@gmail.com" TargetMode="External"/><Relationship Id="rId26" Type="http://schemas.openxmlformats.org/officeDocument/2006/relationships/hyperlink" Target="mailto:ligonzalezs@hotmail.com" TargetMode="External"/><Relationship Id="rId39" Type="http://schemas.openxmlformats.org/officeDocument/2006/relationships/hyperlink" Target="mailto:juadiacla@gmail.com" TargetMode="External"/><Relationship Id="rId21" Type="http://schemas.openxmlformats.org/officeDocument/2006/relationships/hyperlink" Target="mailto:david.obregon@exsis.com.co" TargetMode="External"/><Relationship Id="rId34" Type="http://schemas.openxmlformats.org/officeDocument/2006/relationships/hyperlink" Target="mailto:german.chaparro.co@gmail.com" TargetMode="External"/><Relationship Id="rId42" Type="http://schemas.openxmlformats.org/officeDocument/2006/relationships/hyperlink" Target="mailto:sbastian.jimenez@gmail.com" TargetMode="External"/><Relationship Id="rId47" Type="http://schemas.openxmlformats.org/officeDocument/2006/relationships/hyperlink" Target="mailto:yulieth.sandoval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kattya.pena@exsis.com.co" TargetMode="External"/><Relationship Id="rId29" Type="http://schemas.openxmlformats.org/officeDocument/2006/relationships/hyperlink" Target="mailto:aurora.vargasmoreno@gmail.com" TargetMode="External"/><Relationship Id="rId11" Type="http://schemas.openxmlformats.org/officeDocument/2006/relationships/hyperlink" Target="mailto:perezvillalobos@gmail.com" TargetMode="External"/><Relationship Id="rId24" Type="http://schemas.openxmlformats.org/officeDocument/2006/relationships/hyperlink" Target="mailto:nycas02@hotmail.com" TargetMode="External"/><Relationship Id="rId32" Type="http://schemas.openxmlformats.org/officeDocument/2006/relationships/hyperlink" Target="mailto:juancamilo018@gmail.com" TargetMode="External"/><Relationship Id="rId37" Type="http://schemas.openxmlformats.org/officeDocument/2006/relationships/hyperlink" Target="mailto:ana.arbelaez@acegroup.com" TargetMode="External"/><Relationship Id="rId40" Type="http://schemas.openxmlformats.org/officeDocument/2006/relationships/hyperlink" Target="mailto:camilo.londono@exsis.com.co" TargetMode="External"/><Relationship Id="rId45" Type="http://schemas.openxmlformats.org/officeDocument/2006/relationships/hyperlink" Target="mailto:jessica.negrete@exsis.com.co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luisa.galindo@exsis.com.co" TargetMode="External"/><Relationship Id="rId23" Type="http://schemas.openxmlformats.org/officeDocument/2006/relationships/hyperlink" Target="mailto:ticsiana.carrillo@acegroup.com" TargetMode="External"/><Relationship Id="rId28" Type="http://schemas.openxmlformats.org/officeDocument/2006/relationships/hyperlink" Target="mailto:luis.rozo@acegroup.com" TargetMode="External"/><Relationship Id="rId36" Type="http://schemas.openxmlformats.org/officeDocument/2006/relationships/hyperlink" Target="mailto:andresherreram@gmail.com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gerardo.mendez@exsis.com.co" TargetMode="External"/><Relationship Id="rId31" Type="http://schemas.openxmlformats.org/officeDocument/2006/relationships/hyperlink" Target="mailto:leonel.sierra@gmail.com" TargetMode="External"/><Relationship Id="rId44" Type="http://schemas.openxmlformats.org/officeDocument/2006/relationships/hyperlink" Target="mailto:caalqure@msn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manuel.mendez@exsis.com.co" TargetMode="External"/><Relationship Id="rId22" Type="http://schemas.openxmlformats.org/officeDocument/2006/relationships/hyperlink" Target="mailto:marcela.murallas@exsis.com.co" TargetMode="External"/><Relationship Id="rId27" Type="http://schemas.openxmlformats.org/officeDocument/2006/relationships/hyperlink" Target="mailto:ildherreram@gmail.com" TargetMode="External"/><Relationship Id="rId30" Type="http://schemas.openxmlformats.org/officeDocument/2006/relationships/hyperlink" Target="mailto:ludwlb.larrota@acegroup.com" TargetMode="External"/><Relationship Id="rId35" Type="http://schemas.openxmlformats.org/officeDocument/2006/relationships/hyperlink" Target="mailto:gmaggiw@gmail.com" TargetMode="External"/><Relationship Id="rId43" Type="http://schemas.openxmlformats.org/officeDocument/2006/relationships/hyperlink" Target="mailto:heillergarcia@hotmail.com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nestor.castillo@exsis.com.co" TargetMode="External"/><Relationship Id="rId17" Type="http://schemas.openxmlformats.org/officeDocument/2006/relationships/hyperlink" Target="mailto:camilo.lara@exsis.com.co" TargetMode="External"/><Relationship Id="rId25" Type="http://schemas.openxmlformats.org/officeDocument/2006/relationships/hyperlink" Target="mailto:edohdzrdz@hotmail.com" TargetMode="External"/><Relationship Id="rId33" Type="http://schemas.openxmlformats.org/officeDocument/2006/relationships/hyperlink" Target="mailto:jimmycifuentes@gmail.com" TargetMode="External"/><Relationship Id="rId38" Type="http://schemas.openxmlformats.org/officeDocument/2006/relationships/hyperlink" Target="mailto:maira.claro@exsis.com.co" TargetMode="External"/><Relationship Id="rId46" Type="http://schemas.openxmlformats.org/officeDocument/2006/relationships/hyperlink" Target="mailto:alberto.almario2@acegroup.com" TargetMode="External"/><Relationship Id="rId20" Type="http://schemas.openxmlformats.org/officeDocument/2006/relationships/hyperlink" Target="mailto:diego.ortiz@exsis.com.co" TargetMode="External"/><Relationship Id="rId41" Type="http://schemas.openxmlformats.org/officeDocument/2006/relationships/hyperlink" Target="mailto:m.transi.pulido@hot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udwlb.larrota@acegroup.com" TargetMode="External"/><Relationship Id="rId39" Type="http://schemas.openxmlformats.org/officeDocument/2006/relationships/hyperlink" Target="mailto:jessica.negrete@exsis.com.co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camilo.londono@exsis.com.co" TargetMode="External"/><Relationship Id="rId42" Type="http://schemas.openxmlformats.org/officeDocument/2006/relationships/hyperlink" Target="mailto:german.chaparro.co@gmail.com" TargetMode="External"/><Relationship Id="rId47" Type="http://schemas.openxmlformats.org/officeDocument/2006/relationships/hyperlink" Target="mailto:maira.claro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jimmycifuentes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ana.arbelaez@acegroup.com" TargetMode="External"/><Relationship Id="rId37" Type="http://schemas.openxmlformats.org/officeDocument/2006/relationships/hyperlink" Target="mailto:heillergarcia@hotmail.com" TargetMode="External"/><Relationship Id="rId40" Type="http://schemas.openxmlformats.org/officeDocument/2006/relationships/hyperlink" Target="mailto:alberto.almario2@acegroup.com" TargetMode="External"/><Relationship Id="rId45" Type="http://schemas.openxmlformats.org/officeDocument/2006/relationships/hyperlink" Target="mailto:nycas02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uancamilo018@gmail.com" TargetMode="External"/><Relationship Id="rId36" Type="http://schemas.openxmlformats.org/officeDocument/2006/relationships/hyperlink" Target="mailto:sbastian.jimenez@g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dresherreram@gmail.com" TargetMode="External"/><Relationship Id="rId44" Type="http://schemas.openxmlformats.org/officeDocument/2006/relationships/hyperlink" Target="mailto:edohdzrdz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leonel.sierra@gmail.com" TargetMode="External"/><Relationship Id="rId30" Type="http://schemas.openxmlformats.org/officeDocument/2006/relationships/hyperlink" Target="mailto:gmaggiw@gmail.com" TargetMode="External"/><Relationship Id="rId35" Type="http://schemas.openxmlformats.org/officeDocument/2006/relationships/hyperlink" Target="mailto:m.transi.pulido@hotmail.com" TargetMode="External"/><Relationship Id="rId43" Type="http://schemas.openxmlformats.org/officeDocument/2006/relationships/hyperlink" Target="mailto:ligonzalezs@hotmail.com" TargetMode="External"/><Relationship Id="rId48" Type="http://schemas.openxmlformats.org/officeDocument/2006/relationships/hyperlink" Target="mailto:perezvillalobos@g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aurora.vargasmoreno@gmail.com" TargetMode="External"/><Relationship Id="rId33" Type="http://schemas.openxmlformats.org/officeDocument/2006/relationships/hyperlink" Target="mailto:juadiacla@gmail.com" TargetMode="External"/><Relationship Id="rId38" Type="http://schemas.openxmlformats.org/officeDocument/2006/relationships/hyperlink" Target="mailto:caalqure@msn.com" TargetMode="External"/><Relationship Id="rId46" Type="http://schemas.openxmlformats.org/officeDocument/2006/relationships/hyperlink" Target="mailto:neryskate@hotmail.com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yulieth.sandoval@exsis.com.c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eonel.sierra@gmail.com" TargetMode="External"/><Relationship Id="rId39" Type="http://schemas.openxmlformats.org/officeDocument/2006/relationships/hyperlink" Target="mailto:alberto.almario2@acegroup.com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m.transi.pulido@hotmail.com" TargetMode="External"/><Relationship Id="rId42" Type="http://schemas.openxmlformats.org/officeDocument/2006/relationships/hyperlink" Target="mailto:ligonzalezs@hotmail.com" TargetMode="External"/><Relationship Id="rId47" Type="http://schemas.openxmlformats.org/officeDocument/2006/relationships/hyperlink" Target="mailto:perezvillalobos@gmail.com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gmaggiw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juadiacla@gmail.com" TargetMode="External"/><Relationship Id="rId37" Type="http://schemas.openxmlformats.org/officeDocument/2006/relationships/hyperlink" Target="mailto:caalqure@msn.com" TargetMode="External"/><Relationship Id="rId40" Type="http://schemas.openxmlformats.org/officeDocument/2006/relationships/hyperlink" Target="mailto:yulieth.sandoval@exsis.com.co" TargetMode="External"/><Relationship Id="rId45" Type="http://schemas.openxmlformats.org/officeDocument/2006/relationships/hyperlink" Target="mailto:neryskate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immycifuentes@gmail.com" TargetMode="External"/><Relationship Id="rId36" Type="http://schemas.openxmlformats.org/officeDocument/2006/relationships/hyperlink" Target="mailto:heillergarcia@hot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a.arbelaez@acegroup.com" TargetMode="External"/><Relationship Id="rId44" Type="http://schemas.openxmlformats.org/officeDocument/2006/relationships/hyperlink" Target="mailto:nycas02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juancamilo018@gmail.com" TargetMode="External"/><Relationship Id="rId30" Type="http://schemas.openxmlformats.org/officeDocument/2006/relationships/hyperlink" Target="mailto:andresherreram@gmail.com" TargetMode="External"/><Relationship Id="rId35" Type="http://schemas.openxmlformats.org/officeDocument/2006/relationships/hyperlink" Target="mailto:sbastian.jimenez@gmail.com" TargetMode="External"/><Relationship Id="rId43" Type="http://schemas.openxmlformats.org/officeDocument/2006/relationships/hyperlink" Target="mailto:edohdzrdz@hotmail.com" TargetMode="External"/><Relationship Id="rId48" Type="http://schemas.openxmlformats.org/officeDocument/2006/relationships/hyperlink" Target="mailto:neryskate@hot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ludwlb.larrota@acegroup.com" TargetMode="External"/><Relationship Id="rId33" Type="http://schemas.openxmlformats.org/officeDocument/2006/relationships/hyperlink" Target="mailto:camilo.londono@exsis.com.co" TargetMode="External"/><Relationship Id="rId38" Type="http://schemas.openxmlformats.org/officeDocument/2006/relationships/hyperlink" Target="mailto:jessica.negrete@exsis.com.co" TargetMode="External"/><Relationship Id="rId46" Type="http://schemas.openxmlformats.org/officeDocument/2006/relationships/hyperlink" Target="mailto:maira.claro@exsis.com.co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german.chaparro.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8"/>
  <sheetViews>
    <sheetView tabSelected="1" workbookViewId="0">
      <selection activeCell="G14" sqref="G14"/>
    </sheetView>
  </sheetViews>
  <sheetFormatPr baseColWidth="10" defaultRowHeight="9" x14ac:dyDescent="0.25"/>
  <cols>
    <col min="1" max="1" width="10.42578125" style="159" customWidth="1"/>
    <col min="2" max="2" width="4.85546875" style="159" customWidth="1"/>
    <col min="3" max="3" width="27.5703125" style="183" customWidth="1"/>
    <col min="4" max="4" width="11" style="159" customWidth="1"/>
    <col min="5" max="5" width="9.85546875" style="185" customWidth="1"/>
    <col min="6" max="6" width="6.140625" style="185" customWidth="1"/>
    <col min="7" max="7" width="8.28515625" style="185" customWidth="1"/>
    <col min="8" max="8" width="6.85546875" style="185" customWidth="1"/>
    <col min="9" max="9" width="7" style="185" hidden="1" customWidth="1"/>
    <col min="10" max="10" width="5.42578125" style="185" hidden="1" customWidth="1"/>
    <col min="11" max="11" width="8" style="185" hidden="1" customWidth="1"/>
    <col min="12" max="13" width="7.5703125" style="185" customWidth="1"/>
    <col min="14" max="14" width="9.5703125" style="185" customWidth="1"/>
    <col min="15" max="15" width="7.7109375" style="185" customWidth="1"/>
    <col min="16" max="16" width="7.85546875" style="185" customWidth="1"/>
    <col min="17" max="17" width="10.42578125" style="185" customWidth="1"/>
    <col min="18" max="18" width="17.7109375" style="185" hidden="1" customWidth="1"/>
    <col min="19" max="19" width="7.28515625" style="185" customWidth="1"/>
    <col min="20" max="20" width="7.42578125" style="185" customWidth="1"/>
    <col min="21" max="22" width="7.85546875" style="185" customWidth="1"/>
    <col min="23" max="24" width="8" style="185" customWidth="1"/>
    <col min="25" max="25" width="12.85546875" style="159" customWidth="1"/>
    <col min="26" max="26" width="4.42578125" style="159" customWidth="1"/>
    <col min="27" max="27" width="7.28515625" style="187" customWidth="1"/>
    <col min="28" max="28" width="10.28515625" style="159" customWidth="1"/>
    <col min="29" max="29" width="31.140625" style="183" customWidth="1"/>
    <col min="30" max="251" width="11.42578125" style="159"/>
    <col min="252" max="252" width="10.5703125" style="159" customWidth="1"/>
    <col min="253" max="253" width="4.85546875" style="159" customWidth="1"/>
    <col min="254" max="254" width="32.42578125" style="159" customWidth="1"/>
    <col min="255" max="255" width="9.85546875" style="159" customWidth="1"/>
    <col min="256" max="256" width="10.140625" style="159" customWidth="1"/>
    <col min="257" max="257" width="12.28515625" style="159" customWidth="1"/>
    <col min="258" max="258" width="15.42578125" style="159" customWidth="1"/>
    <col min="259" max="259" width="11.85546875" style="159" customWidth="1"/>
    <col min="260" max="260" width="13.28515625" style="159" customWidth="1"/>
    <col min="261" max="261" width="15.28515625" style="159" customWidth="1"/>
    <col min="262" max="262" width="11.85546875" style="159" customWidth="1"/>
    <col min="263" max="263" width="6.140625" style="159" customWidth="1"/>
    <col min="264" max="264" width="11.85546875" style="159" customWidth="1"/>
    <col min="265" max="265" width="9.42578125" style="159" customWidth="1"/>
    <col min="266" max="266" width="14.7109375" style="159" customWidth="1"/>
    <col min="267" max="267" width="11.5703125" style="159" customWidth="1"/>
    <col min="268" max="268" width="0.42578125" style="159" customWidth="1"/>
    <col min="269" max="269" width="10.5703125" style="159" bestFit="1" customWidth="1"/>
    <col min="270" max="270" width="12.28515625" style="159" customWidth="1"/>
    <col min="271" max="271" width="12.5703125" style="159" customWidth="1"/>
    <col min="272" max="272" width="10.5703125" style="159" customWidth="1"/>
    <col min="273" max="273" width="10.140625" style="159" customWidth="1"/>
    <col min="274" max="274" width="8.42578125" style="159" customWidth="1"/>
    <col min="275" max="275" width="18.85546875" style="159" customWidth="1"/>
    <col min="276" max="276" width="10.28515625" style="159" customWidth="1"/>
    <col min="277" max="277" width="11.42578125" style="159"/>
    <col min="278" max="278" width="12.140625" style="159" customWidth="1"/>
    <col min="279" max="279" width="10.5703125" style="159" customWidth="1"/>
    <col min="280" max="280" width="12.42578125" style="159" customWidth="1"/>
    <col min="281" max="281" width="15.140625" style="159" customWidth="1"/>
    <col min="282" max="282" width="13.5703125" style="159" customWidth="1"/>
    <col min="283" max="283" width="13.140625" style="159" customWidth="1"/>
    <col min="284" max="284" width="15.7109375" style="159" customWidth="1"/>
    <col min="285" max="285" width="37.5703125" style="159" customWidth="1"/>
    <col min="286" max="507" width="11.42578125" style="159"/>
    <col min="508" max="508" width="10.5703125" style="159" customWidth="1"/>
    <col min="509" max="509" width="4.85546875" style="159" customWidth="1"/>
    <col min="510" max="510" width="32.42578125" style="159" customWidth="1"/>
    <col min="511" max="511" width="9.85546875" style="159" customWidth="1"/>
    <col min="512" max="512" width="10.140625" style="159" customWidth="1"/>
    <col min="513" max="513" width="12.28515625" style="159" customWidth="1"/>
    <col min="514" max="514" width="15.42578125" style="159" customWidth="1"/>
    <col min="515" max="515" width="11.85546875" style="159" customWidth="1"/>
    <col min="516" max="516" width="13.28515625" style="159" customWidth="1"/>
    <col min="517" max="517" width="15.28515625" style="159" customWidth="1"/>
    <col min="518" max="518" width="11.85546875" style="159" customWidth="1"/>
    <col min="519" max="519" width="6.140625" style="159" customWidth="1"/>
    <col min="520" max="520" width="11.85546875" style="159" customWidth="1"/>
    <col min="521" max="521" width="9.42578125" style="159" customWidth="1"/>
    <col min="522" max="522" width="14.7109375" style="159" customWidth="1"/>
    <col min="523" max="523" width="11.5703125" style="159" customWidth="1"/>
    <col min="524" max="524" width="0.42578125" style="159" customWidth="1"/>
    <col min="525" max="525" width="10.5703125" style="159" bestFit="1" customWidth="1"/>
    <col min="526" max="526" width="12.28515625" style="159" customWidth="1"/>
    <col min="527" max="527" width="12.5703125" style="159" customWidth="1"/>
    <col min="528" max="528" width="10.5703125" style="159" customWidth="1"/>
    <col min="529" max="529" width="10.140625" style="159" customWidth="1"/>
    <col min="530" max="530" width="8.42578125" style="159" customWidth="1"/>
    <col min="531" max="531" width="18.85546875" style="159" customWidth="1"/>
    <col min="532" max="532" width="10.28515625" style="159" customWidth="1"/>
    <col min="533" max="533" width="11.42578125" style="159"/>
    <col min="534" max="534" width="12.140625" style="159" customWidth="1"/>
    <col min="535" max="535" width="10.5703125" style="159" customWidth="1"/>
    <col min="536" max="536" width="12.42578125" style="159" customWidth="1"/>
    <col min="537" max="537" width="15.140625" style="159" customWidth="1"/>
    <col min="538" max="538" width="13.5703125" style="159" customWidth="1"/>
    <col min="539" max="539" width="13.140625" style="159" customWidth="1"/>
    <col min="540" max="540" width="15.7109375" style="159" customWidth="1"/>
    <col min="541" max="541" width="37.5703125" style="159" customWidth="1"/>
    <col min="542" max="763" width="11.42578125" style="159"/>
    <col min="764" max="764" width="10.5703125" style="159" customWidth="1"/>
    <col min="765" max="765" width="4.85546875" style="159" customWidth="1"/>
    <col min="766" max="766" width="32.42578125" style="159" customWidth="1"/>
    <col min="767" max="767" width="9.85546875" style="159" customWidth="1"/>
    <col min="768" max="768" width="10.140625" style="159" customWidth="1"/>
    <col min="769" max="769" width="12.28515625" style="159" customWidth="1"/>
    <col min="770" max="770" width="15.42578125" style="159" customWidth="1"/>
    <col min="771" max="771" width="11.85546875" style="159" customWidth="1"/>
    <col min="772" max="772" width="13.28515625" style="159" customWidth="1"/>
    <col min="773" max="773" width="15.28515625" style="159" customWidth="1"/>
    <col min="774" max="774" width="11.85546875" style="159" customWidth="1"/>
    <col min="775" max="775" width="6.140625" style="159" customWidth="1"/>
    <col min="776" max="776" width="11.85546875" style="159" customWidth="1"/>
    <col min="777" max="777" width="9.42578125" style="159" customWidth="1"/>
    <col min="778" max="778" width="14.7109375" style="159" customWidth="1"/>
    <col min="779" max="779" width="11.5703125" style="159" customWidth="1"/>
    <col min="780" max="780" width="0.42578125" style="159" customWidth="1"/>
    <col min="781" max="781" width="10.5703125" style="159" bestFit="1" customWidth="1"/>
    <col min="782" max="782" width="12.28515625" style="159" customWidth="1"/>
    <col min="783" max="783" width="12.5703125" style="159" customWidth="1"/>
    <col min="784" max="784" width="10.5703125" style="159" customWidth="1"/>
    <col min="785" max="785" width="10.140625" style="159" customWidth="1"/>
    <col min="786" max="786" width="8.42578125" style="159" customWidth="1"/>
    <col min="787" max="787" width="18.85546875" style="159" customWidth="1"/>
    <col min="788" max="788" width="10.28515625" style="159" customWidth="1"/>
    <col min="789" max="789" width="11.42578125" style="159"/>
    <col min="790" max="790" width="12.140625" style="159" customWidth="1"/>
    <col min="791" max="791" width="10.5703125" style="159" customWidth="1"/>
    <col min="792" max="792" width="12.42578125" style="159" customWidth="1"/>
    <col min="793" max="793" width="15.140625" style="159" customWidth="1"/>
    <col min="794" max="794" width="13.5703125" style="159" customWidth="1"/>
    <col min="795" max="795" width="13.140625" style="159" customWidth="1"/>
    <col min="796" max="796" width="15.7109375" style="159" customWidth="1"/>
    <col min="797" max="797" width="37.5703125" style="159" customWidth="1"/>
    <col min="798" max="1019" width="11.42578125" style="159"/>
    <col min="1020" max="1020" width="10.5703125" style="159" customWidth="1"/>
    <col min="1021" max="1021" width="4.85546875" style="159" customWidth="1"/>
    <col min="1022" max="1022" width="32.42578125" style="159" customWidth="1"/>
    <col min="1023" max="1023" width="9.85546875" style="159" customWidth="1"/>
    <col min="1024" max="1024" width="10.140625" style="159" customWidth="1"/>
    <col min="1025" max="1025" width="12.28515625" style="159" customWidth="1"/>
    <col min="1026" max="1026" width="15.42578125" style="159" customWidth="1"/>
    <col min="1027" max="1027" width="11.85546875" style="159" customWidth="1"/>
    <col min="1028" max="1028" width="13.28515625" style="159" customWidth="1"/>
    <col min="1029" max="1029" width="15.28515625" style="159" customWidth="1"/>
    <col min="1030" max="1030" width="11.85546875" style="159" customWidth="1"/>
    <col min="1031" max="1031" width="6.140625" style="159" customWidth="1"/>
    <col min="1032" max="1032" width="11.85546875" style="159" customWidth="1"/>
    <col min="1033" max="1033" width="9.42578125" style="159" customWidth="1"/>
    <col min="1034" max="1034" width="14.7109375" style="159" customWidth="1"/>
    <col min="1035" max="1035" width="11.5703125" style="159" customWidth="1"/>
    <col min="1036" max="1036" width="0.42578125" style="159" customWidth="1"/>
    <col min="1037" max="1037" width="10.5703125" style="159" bestFit="1" customWidth="1"/>
    <col min="1038" max="1038" width="12.28515625" style="159" customWidth="1"/>
    <col min="1039" max="1039" width="12.5703125" style="159" customWidth="1"/>
    <col min="1040" max="1040" width="10.5703125" style="159" customWidth="1"/>
    <col min="1041" max="1041" width="10.140625" style="159" customWidth="1"/>
    <col min="1042" max="1042" width="8.42578125" style="159" customWidth="1"/>
    <col min="1043" max="1043" width="18.85546875" style="159" customWidth="1"/>
    <col min="1044" max="1044" width="10.28515625" style="159" customWidth="1"/>
    <col min="1045" max="1045" width="11.42578125" style="159"/>
    <col min="1046" max="1046" width="12.140625" style="159" customWidth="1"/>
    <col min="1047" max="1047" width="10.5703125" style="159" customWidth="1"/>
    <col min="1048" max="1048" width="12.42578125" style="159" customWidth="1"/>
    <col min="1049" max="1049" width="15.140625" style="159" customWidth="1"/>
    <col min="1050" max="1050" width="13.5703125" style="159" customWidth="1"/>
    <col min="1051" max="1051" width="13.140625" style="159" customWidth="1"/>
    <col min="1052" max="1052" width="15.7109375" style="159" customWidth="1"/>
    <col min="1053" max="1053" width="37.5703125" style="159" customWidth="1"/>
    <col min="1054" max="1275" width="11.42578125" style="159"/>
    <col min="1276" max="1276" width="10.5703125" style="159" customWidth="1"/>
    <col min="1277" max="1277" width="4.85546875" style="159" customWidth="1"/>
    <col min="1278" max="1278" width="32.42578125" style="159" customWidth="1"/>
    <col min="1279" max="1279" width="9.85546875" style="159" customWidth="1"/>
    <col min="1280" max="1280" width="10.140625" style="159" customWidth="1"/>
    <col min="1281" max="1281" width="12.28515625" style="159" customWidth="1"/>
    <col min="1282" max="1282" width="15.42578125" style="159" customWidth="1"/>
    <col min="1283" max="1283" width="11.85546875" style="159" customWidth="1"/>
    <col min="1284" max="1284" width="13.28515625" style="159" customWidth="1"/>
    <col min="1285" max="1285" width="15.28515625" style="159" customWidth="1"/>
    <col min="1286" max="1286" width="11.85546875" style="159" customWidth="1"/>
    <col min="1287" max="1287" width="6.140625" style="159" customWidth="1"/>
    <col min="1288" max="1288" width="11.85546875" style="159" customWidth="1"/>
    <col min="1289" max="1289" width="9.42578125" style="159" customWidth="1"/>
    <col min="1290" max="1290" width="14.7109375" style="159" customWidth="1"/>
    <col min="1291" max="1291" width="11.5703125" style="159" customWidth="1"/>
    <col min="1292" max="1292" width="0.42578125" style="159" customWidth="1"/>
    <col min="1293" max="1293" width="10.5703125" style="159" bestFit="1" customWidth="1"/>
    <col min="1294" max="1294" width="12.28515625" style="159" customWidth="1"/>
    <col min="1295" max="1295" width="12.5703125" style="159" customWidth="1"/>
    <col min="1296" max="1296" width="10.5703125" style="159" customWidth="1"/>
    <col min="1297" max="1297" width="10.140625" style="159" customWidth="1"/>
    <col min="1298" max="1298" width="8.42578125" style="159" customWidth="1"/>
    <col min="1299" max="1299" width="18.85546875" style="159" customWidth="1"/>
    <col min="1300" max="1300" width="10.28515625" style="159" customWidth="1"/>
    <col min="1301" max="1301" width="11.42578125" style="159"/>
    <col min="1302" max="1302" width="12.140625" style="159" customWidth="1"/>
    <col min="1303" max="1303" width="10.5703125" style="159" customWidth="1"/>
    <col min="1304" max="1304" width="12.42578125" style="159" customWidth="1"/>
    <col min="1305" max="1305" width="15.140625" style="159" customWidth="1"/>
    <col min="1306" max="1306" width="13.5703125" style="159" customWidth="1"/>
    <col min="1307" max="1307" width="13.140625" style="159" customWidth="1"/>
    <col min="1308" max="1308" width="15.7109375" style="159" customWidth="1"/>
    <col min="1309" max="1309" width="37.5703125" style="159" customWidth="1"/>
    <col min="1310" max="1531" width="11.42578125" style="159"/>
    <col min="1532" max="1532" width="10.5703125" style="159" customWidth="1"/>
    <col min="1533" max="1533" width="4.85546875" style="159" customWidth="1"/>
    <col min="1534" max="1534" width="32.42578125" style="159" customWidth="1"/>
    <col min="1535" max="1535" width="9.85546875" style="159" customWidth="1"/>
    <col min="1536" max="1536" width="10.140625" style="159" customWidth="1"/>
    <col min="1537" max="1537" width="12.28515625" style="159" customWidth="1"/>
    <col min="1538" max="1538" width="15.42578125" style="159" customWidth="1"/>
    <col min="1539" max="1539" width="11.85546875" style="159" customWidth="1"/>
    <col min="1540" max="1540" width="13.28515625" style="159" customWidth="1"/>
    <col min="1541" max="1541" width="15.28515625" style="159" customWidth="1"/>
    <col min="1542" max="1542" width="11.85546875" style="159" customWidth="1"/>
    <col min="1543" max="1543" width="6.140625" style="159" customWidth="1"/>
    <col min="1544" max="1544" width="11.85546875" style="159" customWidth="1"/>
    <col min="1545" max="1545" width="9.42578125" style="159" customWidth="1"/>
    <col min="1546" max="1546" width="14.7109375" style="159" customWidth="1"/>
    <col min="1547" max="1547" width="11.5703125" style="159" customWidth="1"/>
    <col min="1548" max="1548" width="0.42578125" style="159" customWidth="1"/>
    <col min="1549" max="1549" width="10.5703125" style="159" bestFit="1" customWidth="1"/>
    <col min="1550" max="1550" width="12.28515625" style="159" customWidth="1"/>
    <col min="1551" max="1551" width="12.5703125" style="159" customWidth="1"/>
    <col min="1552" max="1552" width="10.5703125" style="159" customWidth="1"/>
    <col min="1553" max="1553" width="10.140625" style="159" customWidth="1"/>
    <col min="1554" max="1554" width="8.42578125" style="159" customWidth="1"/>
    <col min="1555" max="1555" width="18.85546875" style="159" customWidth="1"/>
    <col min="1556" max="1556" width="10.28515625" style="159" customWidth="1"/>
    <col min="1557" max="1557" width="11.42578125" style="159"/>
    <col min="1558" max="1558" width="12.140625" style="159" customWidth="1"/>
    <col min="1559" max="1559" width="10.5703125" style="159" customWidth="1"/>
    <col min="1560" max="1560" width="12.42578125" style="159" customWidth="1"/>
    <col min="1561" max="1561" width="15.140625" style="159" customWidth="1"/>
    <col min="1562" max="1562" width="13.5703125" style="159" customWidth="1"/>
    <col min="1563" max="1563" width="13.140625" style="159" customWidth="1"/>
    <col min="1564" max="1564" width="15.7109375" style="159" customWidth="1"/>
    <col min="1565" max="1565" width="37.5703125" style="159" customWidth="1"/>
    <col min="1566" max="1787" width="11.42578125" style="159"/>
    <col min="1788" max="1788" width="10.5703125" style="159" customWidth="1"/>
    <col min="1789" max="1789" width="4.85546875" style="159" customWidth="1"/>
    <col min="1790" max="1790" width="32.42578125" style="159" customWidth="1"/>
    <col min="1791" max="1791" width="9.85546875" style="159" customWidth="1"/>
    <col min="1792" max="1792" width="10.140625" style="159" customWidth="1"/>
    <col min="1793" max="1793" width="12.28515625" style="159" customWidth="1"/>
    <col min="1794" max="1794" width="15.42578125" style="159" customWidth="1"/>
    <col min="1795" max="1795" width="11.85546875" style="159" customWidth="1"/>
    <col min="1796" max="1796" width="13.28515625" style="159" customWidth="1"/>
    <col min="1797" max="1797" width="15.28515625" style="159" customWidth="1"/>
    <col min="1798" max="1798" width="11.85546875" style="159" customWidth="1"/>
    <col min="1799" max="1799" width="6.140625" style="159" customWidth="1"/>
    <col min="1800" max="1800" width="11.85546875" style="159" customWidth="1"/>
    <col min="1801" max="1801" width="9.42578125" style="159" customWidth="1"/>
    <col min="1802" max="1802" width="14.7109375" style="159" customWidth="1"/>
    <col min="1803" max="1803" width="11.5703125" style="159" customWidth="1"/>
    <col min="1804" max="1804" width="0.42578125" style="159" customWidth="1"/>
    <col min="1805" max="1805" width="10.5703125" style="159" bestFit="1" customWidth="1"/>
    <col min="1806" max="1806" width="12.28515625" style="159" customWidth="1"/>
    <col min="1807" max="1807" width="12.5703125" style="159" customWidth="1"/>
    <col min="1808" max="1808" width="10.5703125" style="159" customWidth="1"/>
    <col min="1809" max="1809" width="10.140625" style="159" customWidth="1"/>
    <col min="1810" max="1810" width="8.42578125" style="159" customWidth="1"/>
    <col min="1811" max="1811" width="18.85546875" style="159" customWidth="1"/>
    <col min="1812" max="1812" width="10.28515625" style="159" customWidth="1"/>
    <col min="1813" max="1813" width="11.42578125" style="159"/>
    <col min="1814" max="1814" width="12.140625" style="159" customWidth="1"/>
    <col min="1815" max="1815" width="10.5703125" style="159" customWidth="1"/>
    <col min="1816" max="1816" width="12.42578125" style="159" customWidth="1"/>
    <col min="1817" max="1817" width="15.140625" style="159" customWidth="1"/>
    <col min="1818" max="1818" width="13.5703125" style="159" customWidth="1"/>
    <col min="1819" max="1819" width="13.140625" style="159" customWidth="1"/>
    <col min="1820" max="1820" width="15.7109375" style="159" customWidth="1"/>
    <col min="1821" max="1821" width="37.5703125" style="159" customWidth="1"/>
    <col min="1822" max="2043" width="11.42578125" style="159"/>
    <col min="2044" max="2044" width="10.5703125" style="159" customWidth="1"/>
    <col min="2045" max="2045" width="4.85546875" style="159" customWidth="1"/>
    <col min="2046" max="2046" width="32.42578125" style="159" customWidth="1"/>
    <col min="2047" max="2047" width="9.85546875" style="159" customWidth="1"/>
    <col min="2048" max="2048" width="10.140625" style="159" customWidth="1"/>
    <col min="2049" max="2049" width="12.28515625" style="159" customWidth="1"/>
    <col min="2050" max="2050" width="15.42578125" style="159" customWidth="1"/>
    <col min="2051" max="2051" width="11.85546875" style="159" customWidth="1"/>
    <col min="2052" max="2052" width="13.28515625" style="159" customWidth="1"/>
    <col min="2053" max="2053" width="15.28515625" style="159" customWidth="1"/>
    <col min="2054" max="2054" width="11.85546875" style="159" customWidth="1"/>
    <col min="2055" max="2055" width="6.140625" style="159" customWidth="1"/>
    <col min="2056" max="2056" width="11.85546875" style="159" customWidth="1"/>
    <col min="2057" max="2057" width="9.42578125" style="159" customWidth="1"/>
    <col min="2058" max="2058" width="14.7109375" style="159" customWidth="1"/>
    <col min="2059" max="2059" width="11.5703125" style="159" customWidth="1"/>
    <col min="2060" max="2060" width="0.42578125" style="159" customWidth="1"/>
    <col min="2061" max="2061" width="10.5703125" style="159" bestFit="1" customWidth="1"/>
    <col min="2062" max="2062" width="12.28515625" style="159" customWidth="1"/>
    <col min="2063" max="2063" width="12.5703125" style="159" customWidth="1"/>
    <col min="2064" max="2064" width="10.5703125" style="159" customWidth="1"/>
    <col min="2065" max="2065" width="10.140625" style="159" customWidth="1"/>
    <col min="2066" max="2066" width="8.42578125" style="159" customWidth="1"/>
    <col min="2067" max="2067" width="18.85546875" style="159" customWidth="1"/>
    <col min="2068" max="2068" width="10.28515625" style="159" customWidth="1"/>
    <col min="2069" max="2069" width="11.42578125" style="159"/>
    <col min="2070" max="2070" width="12.140625" style="159" customWidth="1"/>
    <col min="2071" max="2071" width="10.5703125" style="159" customWidth="1"/>
    <col min="2072" max="2072" width="12.42578125" style="159" customWidth="1"/>
    <col min="2073" max="2073" width="15.140625" style="159" customWidth="1"/>
    <col min="2074" max="2074" width="13.5703125" style="159" customWidth="1"/>
    <col min="2075" max="2075" width="13.140625" style="159" customWidth="1"/>
    <col min="2076" max="2076" width="15.7109375" style="159" customWidth="1"/>
    <col min="2077" max="2077" width="37.5703125" style="159" customWidth="1"/>
    <col min="2078" max="2299" width="11.42578125" style="159"/>
    <col min="2300" max="2300" width="10.5703125" style="159" customWidth="1"/>
    <col min="2301" max="2301" width="4.85546875" style="159" customWidth="1"/>
    <col min="2302" max="2302" width="32.42578125" style="159" customWidth="1"/>
    <col min="2303" max="2303" width="9.85546875" style="159" customWidth="1"/>
    <col min="2304" max="2304" width="10.140625" style="159" customWidth="1"/>
    <col min="2305" max="2305" width="12.28515625" style="159" customWidth="1"/>
    <col min="2306" max="2306" width="15.42578125" style="159" customWidth="1"/>
    <col min="2307" max="2307" width="11.85546875" style="159" customWidth="1"/>
    <col min="2308" max="2308" width="13.28515625" style="159" customWidth="1"/>
    <col min="2309" max="2309" width="15.28515625" style="159" customWidth="1"/>
    <col min="2310" max="2310" width="11.85546875" style="159" customWidth="1"/>
    <col min="2311" max="2311" width="6.140625" style="159" customWidth="1"/>
    <col min="2312" max="2312" width="11.85546875" style="159" customWidth="1"/>
    <col min="2313" max="2313" width="9.42578125" style="159" customWidth="1"/>
    <col min="2314" max="2314" width="14.7109375" style="159" customWidth="1"/>
    <col min="2315" max="2315" width="11.5703125" style="159" customWidth="1"/>
    <col min="2316" max="2316" width="0.42578125" style="159" customWidth="1"/>
    <col min="2317" max="2317" width="10.5703125" style="159" bestFit="1" customWidth="1"/>
    <col min="2318" max="2318" width="12.28515625" style="159" customWidth="1"/>
    <col min="2319" max="2319" width="12.5703125" style="159" customWidth="1"/>
    <col min="2320" max="2320" width="10.5703125" style="159" customWidth="1"/>
    <col min="2321" max="2321" width="10.140625" style="159" customWidth="1"/>
    <col min="2322" max="2322" width="8.42578125" style="159" customWidth="1"/>
    <col min="2323" max="2323" width="18.85546875" style="159" customWidth="1"/>
    <col min="2324" max="2324" width="10.28515625" style="159" customWidth="1"/>
    <col min="2325" max="2325" width="11.42578125" style="159"/>
    <col min="2326" max="2326" width="12.140625" style="159" customWidth="1"/>
    <col min="2327" max="2327" width="10.5703125" style="159" customWidth="1"/>
    <col min="2328" max="2328" width="12.42578125" style="159" customWidth="1"/>
    <col min="2329" max="2329" width="15.140625" style="159" customWidth="1"/>
    <col min="2330" max="2330" width="13.5703125" style="159" customWidth="1"/>
    <col min="2331" max="2331" width="13.140625" style="159" customWidth="1"/>
    <col min="2332" max="2332" width="15.7109375" style="159" customWidth="1"/>
    <col min="2333" max="2333" width="37.5703125" style="159" customWidth="1"/>
    <col min="2334" max="2555" width="11.42578125" style="159"/>
    <col min="2556" max="2556" width="10.5703125" style="159" customWidth="1"/>
    <col min="2557" max="2557" width="4.85546875" style="159" customWidth="1"/>
    <col min="2558" max="2558" width="32.42578125" style="159" customWidth="1"/>
    <col min="2559" max="2559" width="9.85546875" style="159" customWidth="1"/>
    <col min="2560" max="2560" width="10.140625" style="159" customWidth="1"/>
    <col min="2561" max="2561" width="12.28515625" style="159" customWidth="1"/>
    <col min="2562" max="2562" width="15.42578125" style="159" customWidth="1"/>
    <col min="2563" max="2563" width="11.85546875" style="159" customWidth="1"/>
    <col min="2564" max="2564" width="13.28515625" style="159" customWidth="1"/>
    <col min="2565" max="2565" width="15.28515625" style="159" customWidth="1"/>
    <col min="2566" max="2566" width="11.85546875" style="159" customWidth="1"/>
    <col min="2567" max="2567" width="6.140625" style="159" customWidth="1"/>
    <col min="2568" max="2568" width="11.85546875" style="159" customWidth="1"/>
    <col min="2569" max="2569" width="9.42578125" style="159" customWidth="1"/>
    <col min="2570" max="2570" width="14.7109375" style="159" customWidth="1"/>
    <col min="2571" max="2571" width="11.5703125" style="159" customWidth="1"/>
    <col min="2572" max="2572" width="0.42578125" style="159" customWidth="1"/>
    <col min="2573" max="2573" width="10.5703125" style="159" bestFit="1" customWidth="1"/>
    <col min="2574" max="2574" width="12.28515625" style="159" customWidth="1"/>
    <col min="2575" max="2575" width="12.5703125" style="159" customWidth="1"/>
    <col min="2576" max="2576" width="10.5703125" style="159" customWidth="1"/>
    <col min="2577" max="2577" width="10.140625" style="159" customWidth="1"/>
    <col min="2578" max="2578" width="8.42578125" style="159" customWidth="1"/>
    <col min="2579" max="2579" width="18.85546875" style="159" customWidth="1"/>
    <col min="2580" max="2580" width="10.28515625" style="159" customWidth="1"/>
    <col min="2581" max="2581" width="11.42578125" style="159"/>
    <col min="2582" max="2582" width="12.140625" style="159" customWidth="1"/>
    <col min="2583" max="2583" width="10.5703125" style="159" customWidth="1"/>
    <col min="2584" max="2584" width="12.42578125" style="159" customWidth="1"/>
    <col min="2585" max="2585" width="15.140625" style="159" customWidth="1"/>
    <col min="2586" max="2586" width="13.5703125" style="159" customWidth="1"/>
    <col min="2587" max="2587" width="13.140625" style="159" customWidth="1"/>
    <col min="2588" max="2588" width="15.7109375" style="159" customWidth="1"/>
    <col min="2589" max="2589" width="37.5703125" style="159" customWidth="1"/>
    <col min="2590" max="2811" width="11.42578125" style="159"/>
    <col min="2812" max="2812" width="10.5703125" style="159" customWidth="1"/>
    <col min="2813" max="2813" width="4.85546875" style="159" customWidth="1"/>
    <col min="2814" max="2814" width="32.42578125" style="159" customWidth="1"/>
    <col min="2815" max="2815" width="9.85546875" style="159" customWidth="1"/>
    <col min="2816" max="2816" width="10.140625" style="159" customWidth="1"/>
    <col min="2817" max="2817" width="12.28515625" style="159" customWidth="1"/>
    <col min="2818" max="2818" width="15.42578125" style="159" customWidth="1"/>
    <col min="2819" max="2819" width="11.85546875" style="159" customWidth="1"/>
    <col min="2820" max="2820" width="13.28515625" style="159" customWidth="1"/>
    <col min="2821" max="2821" width="15.28515625" style="159" customWidth="1"/>
    <col min="2822" max="2822" width="11.85546875" style="159" customWidth="1"/>
    <col min="2823" max="2823" width="6.140625" style="159" customWidth="1"/>
    <col min="2824" max="2824" width="11.85546875" style="159" customWidth="1"/>
    <col min="2825" max="2825" width="9.42578125" style="159" customWidth="1"/>
    <col min="2826" max="2826" width="14.7109375" style="159" customWidth="1"/>
    <col min="2827" max="2827" width="11.5703125" style="159" customWidth="1"/>
    <col min="2828" max="2828" width="0.42578125" style="159" customWidth="1"/>
    <col min="2829" max="2829" width="10.5703125" style="159" bestFit="1" customWidth="1"/>
    <col min="2830" max="2830" width="12.28515625" style="159" customWidth="1"/>
    <col min="2831" max="2831" width="12.5703125" style="159" customWidth="1"/>
    <col min="2832" max="2832" width="10.5703125" style="159" customWidth="1"/>
    <col min="2833" max="2833" width="10.140625" style="159" customWidth="1"/>
    <col min="2834" max="2834" width="8.42578125" style="159" customWidth="1"/>
    <col min="2835" max="2835" width="18.85546875" style="159" customWidth="1"/>
    <col min="2836" max="2836" width="10.28515625" style="159" customWidth="1"/>
    <col min="2837" max="2837" width="11.42578125" style="159"/>
    <col min="2838" max="2838" width="12.140625" style="159" customWidth="1"/>
    <col min="2839" max="2839" width="10.5703125" style="159" customWidth="1"/>
    <col min="2840" max="2840" width="12.42578125" style="159" customWidth="1"/>
    <col min="2841" max="2841" width="15.140625" style="159" customWidth="1"/>
    <col min="2842" max="2842" width="13.5703125" style="159" customWidth="1"/>
    <col min="2843" max="2843" width="13.140625" style="159" customWidth="1"/>
    <col min="2844" max="2844" width="15.7109375" style="159" customWidth="1"/>
    <col min="2845" max="2845" width="37.5703125" style="159" customWidth="1"/>
    <col min="2846" max="3067" width="11.42578125" style="159"/>
    <col min="3068" max="3068" width="10.5703125" style="159" customWidth="1"/>
    <col min="3069" max="3069" width="4.85546875" style="159" customWidth="1"/>
    <col min="3070" max="3070" width="32.42578125" style="159" customWidth="1"/>
    <col min="3071" max="3071" width="9.85546875" style="159" customWidth="1"/>
    <col min="3072" max="3072" width="10.140625" style="159" customWidth="1"/>
    <col min="3073" max="3073" width="12.28515625" style="159" customWidth="1"/>
    <col min="3074" max="3074" width="15.42578125" style="159" customWidth="1"/>
    <col min="3075" max="3075" width="11.85546875" style="159" customWidth="1"/>
    <col min="3076" max="3076" width="13.28515625" style="159" customWidth="1"/>
    <col min="3077" max="3077" width="15.28515625" style="159" customWidth="1"/>
    <col min="3078" max="3078" width="11.85546875" style="159" customWidth="1"/>
    <col min="3079" max="3079" width="6.140625" style="159" customWidth="1"/>
    <col min="3080" max="3080" width="11.85546875" style="159" customWidth="1"/>
    <col min="3081" max="3081" width="9.42578125" style="159" customWidth="1"/>
    <col min="3082" max="3082" width="14.7109375" style="159" customWidth="1"/>
    <col min="3083" max="3083" width="11.5703125" style="159" customWidth="1"/>
    <col min="3084" max="3084" width="0.42578125" style="159" customWidth="1"/>
    <col min="3085" max="3085" width="10.5703125" style="159" bestFit="1" customWidth="1"/>
    <col min="3086" max="3086" width="12.28515625" style="159" customWidth="1"/>
    <col min="3087" max="3087" width="12.5703125" style="159" customWidth="1"/>
    <col min="3088" max="3088" width="10.5703125" style="159" customWidth="1"/>
    <col min="3089" max="3089" width="10.140625" style="159" customWidth="1"/>
    <col min="3090" max="3090" width="8.42578125" style="159" customWidth="1"/>
    <col min="3091" max="3091" width="18.85546875" style="159" customWidth="1"/>
    <col min="3092" max="3092" width="10.28515625" style="159" customWidth="1"/>
    <col min="3093" max="3093" width="11.42578125" style="159"/>
    <col min="3094" max="3094" width="12.140625" style="159" customWidth="1"/>
    <col min="3095" max="3095" width="10.5703125" style="159" customWidth="1"/>
    <col min="3096" max="3096" width="12.42578125" style="159" customWidth="1"/>
    <col min="3097" max="3097" width="15.140625" style="159" customWidth="1"/>
    <col min="3098" max="3098" width="13.5703125" style="159" customWidth="1"/>
    <col min="3099" max="3099" width="13.140625" style="159" customWidth="1"/>
    <col min="3100" max="3100" width="15.7109375" style="159" customWidth="1"/>
    <col min="3101" max="3101" width="37.5703125" style="159" customWidth="1"/>
    <col min="3102" max="3323" width="11.42578125" style="159"/>
    <col min="3324" max="3324" width="10.5703125" style="159" customWidth="1"/>
    <col min="3325" max="3325" width="4.85546875" style="159" customWidth="1"/>
    <col min="3326" max="3326" width="32.42578125" style="159" customWidth="1"/>
    <col min="3327" max="3327" width="9.85546875" style="159" customWidth="1"/>
    <col min="3328" max="3328" width="10.140625" style="159" customWidth="1"/>
    <col min="3329" max="3329" width="12.28515625" style="159" customWidth="1"/>
    <col min="3330" max="3330" width="15.42578125" style="159" customWidth="1"/>
    <col min="3331" max="3331" width="11.85546875" style="159" customWidth="1"/>
    <col min="3332" max="3332" width="13.28515625" style="159" customWidth="1"/>
    <col min="3333" max="3333" width="15.28515625" style="159" customWidth="1"/>
    <col min="3334" max="3334" width="11.85546875" style="159" customWidth="1"/>
    <col min="3335" max="3335" width="6.140625" style="159" customWidth="1"/>
    <col min="3336" max="3336" width="11.85546875" style="159" customWidth="1"/>
    <col min="3337" max="3337" width="9.42578125" style="159" customWidth="1"/>
    <col min="3338" max="3338" width="14.7109375" style="159" customWidth="1"/>
    <col min="3339" max="3339" width="11.5703125" style="159" customWidth="1"/>
    <col min="3340" max="3340" width="0.42578125" style="159" customWidth="1"/>
    <col min="3341" max="3341" width="10.5703125" style="159" bestFit="1" customWidth="1"/>
    <col min="3342" max="3342" width="12.28515625" style="159" customWidth="1"/>
    <col min="3343" max="3343" width="12.5703125" style="159" customWidth="1"/>
    <col min="3344" max="3344" width="10.5703125" style="159" customWidth="1"/>
    <col min="3345" max="3345" width="10.140625" style="159" customWidth="1"/>
    <col min="3346" max="3346" width="8.42578125" style="159" customWidth="1"/>
    <col min="3347" max="3347" width="18.85546875" style="159" customWidth="1"/>
    <col min="3348" max="3348" width="10.28515625" style="159" customWidth="1"/>
    <col min="3349" max="3349" width="11.42578125" style="159"/>
    <col min="3350" max="3350" width="12.140625" style="159" customWidth="1"/>
    <col min="3351" max="3351" width="10.5703125" style="159" customWidth="1"/>
    <col min="3352" max="3352" width="12.42578125" style="159" customWidth="1"/>
    <col min="3353" max="3353" width="15.140625" style="159" customWidth="1"/>
    <col min="3354" max="3354" width="13.5703125" style="159" customWidth="1"/>
    <col min="3355" max="3355" width="13.140625" style="159" customWidth="1"/>
    <col min="3356" max="3356" width="15.7109375" style="159" customWidth="1"/>
    <col min="3357" max="3357" width="37.5703125" style="159" customWidth="1"/>
    <col min="3358" max="3579" width="11.42578125" style="159"/>
    <col min="3580" max="3580" width="10.5703125" style="159" customWidth="1"/>
    <col min="3581" max="3581" width="4.85546875" style="159" customWidth="1"/>
    <col min="3582" max="3582" width="32.42578125" style="159" customWidth="1"/>
    <col min="3583" max="3583" width="9.85546875" style="159" customWidth="1"/>
    <col min="3584" max="3584" width="10.140625" style="159" customWidth="1"/>
    <col min="3585" max="3585" width="12.28515625" style="159" customWidth="1"/>
    <col min="3586" max="3586" width="15.42578125" style="159" customWidth="1"/>
    <col min="3587" max="3587" width="11.85546875" style="159" customWidth="1"/>
    <col min="3588" max="3588" width="13.28515625" style="159" customWidth="1"/>
    <col min="3589" max="3589" width="15.28515625" style="159" customWidth="1"/>
    <col min="3590" max="3590" width="11.85546875" style="159" customWidth="1"/>
    <col min="3591" max="3591" width="6.140625" style="159" customWidth="1"/>
    <col min="3592" max="3592" width="11.85546875" style="159" customWidth="1"/>
    <col min="3593" max="3593" width="9.42578125" style="159" customWidth="1"/>
    <col min="3594" max="3594" width="14.7109375" style="159" customWidth="1"/>
    <col min="3595" max="3595" width="11.5703125" style="159" customWidth="1"/>
    <col min="3596" max="3596" width="0.42578125" style="159" customWidth="1"/>
    <col min="3597" max="3597" width="10.5703125" style="159" bestFit="1" customWidth="1"/>
    <col min="3598" max="3598" width="12.28515625" style="159" customWidth="1"/>
    <col min="3599" max="3599" width="12.5703125" style="159" customWidth="1"/>
    <col min="3600" max="3600" width="10.5703125" style="159" customWidth="1"/>
    <col min="3601" max="3601" width="10.140625" style="159" customWidth="1"/>
    <col min="3602" max="3602" width="8.42578125" style="159" customWidth="1"/>
    <col min="3603" max="3603" width="18.85546875" style="159" customWidth="1"/>
    <col min="3604" max="3604" width="10.28515625" style="159" customWidth="1"/>
    <col min="3605" max="3605" width="11.42578125" style="159"/>
    <col min="3606" max="3606" width="12.140625" style="159" customWidth="1"/>
    <col min="3607" max="3607" width="10.5703125" style="159" customWidth="1"/>
    <col min="3608" max="3608" width="12.42578125" style="159" customWidth="1"/>
    <col min="3609" max="3609" width="15.140625" style="159" customWidth="1"/>
    <col min="3610" max="3610" width="13.5703125" style="159" customWidth="1"/>
    <col min="3611" max="3611" width="13.140625" style="159" customWidth="1"/>
    <col min="3612" max="3612" width="15.7109375" style="159" customWidth="1"/>
    <col min="3613" max="3613" width="37.5703125" style="159" customWidth="1"/>
    <col min="3614" max="3835" width="11.42578125" style="159"/>
    <col min="3836" max="3836" width="10.5703125" style="159" customWidth="1"/>
    <col min="3837" max="3837" width="4.85546875" style="159" customWidth="1"/>
    <col min="3838" max="3838" width="32.42578125" style="159" customWidth="1"/>
    <col min="3839" max="3839" width="9.85546875" style="159" customWidth="1"/>
    <col min="3840" max="3840" width="10.140625" style="159" customWidth="1"/>
    <col min="3841" max="3841" width="12.28515625" style="159" customWidth="1"/>
    <col min="3842" max="3842" width="15.42578125" style="159" customWidth="1"/>
    <col min="3843" max="3843" width="11.85546875" style="159" customWidth="1"/>
    <col min="3844" max="3844" width="13.28515625" style="159" customWidth="1"/>
    <col min="3845" max="3845" width="15.28515625" style="159" customWidth="1"/>
    <col min="3846" max="3846" width="11.85546875" style="159" customWidth="1"/>
    <col min="3847" max="3847" width="6.140625" style="159" customWidth="1"/>
    <col min="3848" max="3848" width="11.85546875" style="159" customWidth="1"/>
    <col min="3849" max="3849" width="9.42578125" style="159" customWidth="1"/>
    <col min="3850" max="3850" width="14.7109375" style="159" customWidth="1"/>
    <col min="3851" max="3851" width="11.5703125" style="159" customWidth="1"/>
    <col min="3852" max="3852" width="0.42578125" style="159" customWidth="1"/>
    <col min="3853" max="3853" width="10.5703125" style="159" bestFit="1" customWidth="1"/>
    <col min="3854" max="3854" width="12.28515625" style="159" customWidth="1"/>
    <col min="3855" max="3855" width="12.5703125" style="159" customWidth="1"/>
    <col min="3856" max="3856" width="10.5703125" style="159" customWidth="1"/>
    <col min="3857" max="3857" width="10.140625" style="159" customWidth="1"/>
    <col min="3858" max="3858" width="8.42578125" style="159" customWidth="1"/>
    <col min="3859" max="3859" width="18.85546875" style="159" customWidth="1"/>
    <col min="3860" max="3860" width="10.28515625" style="159" customWidth="1"/>
    <col min="3861" max="3861" width="11.42578125" style="159"/>
    <col min="3862" max="3862" width="12.140625" style="159" customWidth="1"/>
    <col min="3863" max="3863" width="10.5703125" style="159" customWidth="1"/>
    <col min="3864" max="3864" width="12.42578125" style="159" customWidth="1"/>
    <col min="3865" max="3865" width="15.140625" style="159" customWidth="1"/>
    <col min="3866" max="3866" width="13.5703125" style="159" customWidth="1"/>
    <col min="3867" max="3867" width="13.140625" style="159" customWidth="1"/>
    <col min="3868" max="3868" width="15.7109375" style="159" customWidth="1"/>
    <col min="3869" max="3869" width="37.5703125" style="159" customWidth="1"/>
    <col min="3870" max="4091" width="11.42578125" style="159"/>
    <col min="4092" max="4092" width="10.5703125" style="159" customWidth="1"/>
    <col min="4093" max="4093" width="4.85546875" style="159" customWidth="1"/>
    <col min="4094" max="4094" width="32.42578125" style="159" customWidth="1"/>
    <col min="4095" max="4095" width="9.85546875" style="159" customWidth="1"/>
    <col min="4096" max="4096" width="10.140625" style="159" customWidth="1"/>
    <col min="4097" max="4097" width="12.28515625" style="159" customWidth="1"/>
    <col min="4098" max="4098" width="15.42578125" style="159" customWidth="1"/>
    <col min="4099" max="4099" width="11.85546875" style="159" customWidth="1"/>
    <col min="4100" max="4100" width="13.28515625" style="159" customWidth="1"/>
    <col min="4101" max="4101" width="15.28515625" style="159" customWidth="1"/>
    <col min="4102" max="4102" width="11.85546875" style="159" customWidth="1"/>
    <col min="4103" max="4103" width="6.140625" style="159" customWidth="1"/>
    <col min="4104" max="4104" width="11.85546875" style="159" customWidth="1"/>
    <col min="4105" max="4105" width="9.42578125" style="159" customWidth="1"/>
    <col min="4106" max="4106" width="14.7109375" style="159" customWidth="1"/>
    <col min="4107" max="4107" width="11.5703125" style="159" customWidth="1"/>
    <col min="4108" max="4108" width="0.42578125" style="159" customWidth="1"/>
    <col min="4109" max="4109" width="10.5703125" style="159" bestFit="1" customWidth="1"/>
    <col min="4110" max="4110" width="12.28515625" style="159" customWidth="1"/>
    <col min="4111" max="4111" width="12.5703125" style="159" customWidth="1"/>
    <col min="4112" max="4112" width="10.5703125" style="159" customWidth="1"/>
    <col min="4113" max="4113" width="10.140625" style="159" customWidth="1"/>
    <col min="4114" max="4114" width="8.42578125" style="159" customWidth="1"/>
    <col min="4115" max="4115" width="18.85546875" style="159" customWidth="1"/>
    <col min="4116" max="4116" width="10.28515625" style="159" customWidth="1"/>
    <col min="4117" max="4117" width="11.42578125" style="159"/>
    <col min="4118" max="4118" width="12.140625" style="159" customWidth="1"/>
    <col min="4119" max="4119" width="10.5703125" style="159" customWidth="1"/>
    <col min="4120" max="4120" width="12.42578125" style="159" customWidth="1"/>
    <col min="4121" max="4121" width="15.140625" style="159" customWidth="1"/>
    <col min="4122" max="4122" width="13.5703125" style="159" customWidth="1"/>
    <col min="4123" max="4123" width="13.140625" style="159" customWidth="1"/>
    <col min="4124" max="4124" width="15.7109375" style="159" customWidth="1"/>
    <col min="4125" max="4125" width="37.5703125" style="159" customWidth="1"/>
    <col min="4126" max="4347" width="11.42578125" style="159"/>
    <col min="4348" max="4348" width="10.5703125" style="159" customWidth="1"/>
    <col min="4349" max="4349" width="4.85546875" style="159" customWidth="1"/>
    <col min="4350" max="4350" width="32.42578125" style="159" customWidth="1"/>
    <col min="4351" max="4351" width="9.85546875" style="159" customWidth="1"/>
    <col min="4352" max="4352" width="10.140625" style="159" customWidth="1"/>
    <col min="4353" max="4353" width="12.28515625" style="159" customWidth="1"/>
    <col min="4354" max="4354" width="15.42578125" style="159" customWidth="1"/>
    <col min="4355" max="4355" width="11.85546875" style="159" customWidth="1"/>
    <col min="4356" max="4356" width="13.28515625" style="159" customWidth="1"/>
    <col min="4357" max="4357" width="15.28515625" style="159" customWidth="1"/>
    <col min="4358" max="4358" width="11.85546875" style="159" customWidth="1"/>
    <col min="4359" max="4359" width="6.140625" style="159" customWidth="1"/>
    <col min="4360" max="4360" width="11.85546875" style="159" customWidth="1"/>
    <col min="4361" max="4361" width="9.42578125" style="159" customWidth="1"/>
    <col min="4362" max="4362" width="14.7109375" style="159" customWidth="1"/>
    <col min="4363" max="4363" width="11.5703125" style="159" customWidth="1"/>
    <col min="4364" max="4364" width="0.42578125" style="159" customWidth="1"/>
    <col min="4365" max="4365" width="10.5703125" style="159" bestFit="1" customWidth="1"/>
    <col min="4366" max="4366" width="12.28515625" style="159" customWidth="1"/>
    <col min="4367" max="4367" width="12.5703125" style="159" customWidth="1"/>
    <col min="4368" max="4368" width="10.5703125" style="159" customWidth="1"/>
    <col min="4369" max="4369" width="10.140625" style="159" customWidth="1"/>
    <col min="4370" max="4370" width="8.42578125" style="159" customWidth="1"/>
    <col min="4371" max="4371" width="18.85546875" style="159" customWidth="1"/>
    <col min="4372" max="4372" width="10.28515625" style="159" customWidth="1"/>
    <col min="4373" max="4373" width="11.42578125" style="159"/>
    <col min="4374" max="4374" width="12.140625" style="159" customWidth="1"/>
    <col min="4375" max="4375" width="10.5703125" style="159" customWidth="1"/>
    <col min="4376" max="4376" width="12.42578125" style="159" customWidth="1"/>
    <col min="4377" max="4377" width="15.140625" style="159" customWidth="1"/>
    <col min="4378" max="4378" width="13.5703125" style="159" customWidth="1"/>
    <col min="4379" max="4379" width="13.140625" style="159" customWidth="1"/>
    <col min="4380" max="4380" width="15.7109375" style="159" customWidth="1"/>
    <col min="4381" max="4381" width="37.5703125" style="159" customWidth="1"/>
    <col min="4382" max="4603" width="11.42578125" style="159"/>
    <col min="4604" max="4604" width="10.5703125" style="159" customWidth="1"/>
    <col min="4605" max="4605" width="4.85546875" style="159" customWidth="1"/>
    <col min="4606" max="4606" width="32.42578125" style="159" customWidth="1"/>
    <col min="4607" max="4607" width="9.85546875" style="159" customWidth="1"/>
    <col min="4608" max="4608" width="10.140625" style="159" customWidth="1"/>
    <col min="4609" max="4609" width="12.28515625" style="159" customWidth="1"/>
    <col min="4610" max="4610" width="15.42578125" style="159" customWidth="1"/>
    <col min="4611" max="4611" width="11.85546875" style="159" customWidth="1"/>
    <col min="4612" max="4612" width="13.28515625" style="159" customWidth="1"/>
    <col min="4613" max="4613" width="15.28515625" style="159" customWidth="1"/>
    <col min="4614" max="4614" width="11.85546875" style="159" customWidth="1"/>
    <col min="4615" max="4615" width="6.140625" style="159" customWidth="1"/>
    <col min="4616" max="4616" width="11.85546875" style="159" customWidth="1"/>
    <col min="4617" max="4617" width="9.42578125" style="159" customWidth="1"/>
    <col min="4618" max="4618" width="14.7109375" style="159" customWidth="1"/>
    <col min="4619" max="4619" width="11.5703125" style="159" customWidth="1"/>
    <col min="4620" max="4620" width="0.42578125" style="159" customWidth="1"/>
    <col min="4621" max="4621" width="10.5703125" style="159" bestFit="1" customWidth="1"/>
    <col min="4622" max="4622" width="12.28515625" style="159" customWidth="1"/>
    <col min="4623" max="4623" width="12.5703125" style="159" customWidth="1"/>
    <col min="4624" max="4624" width="10.5703125" style="159" customWidth="1"/>
    <col min="4625" max="4625" width="10.140625" style="159" customWidth="1"/>
    <col min="4626" max="4626" width="8.42578125" style="159" customWidth="1"/>
    <col min="4627" max="4627" width="18.85546875" style="159" customWidth="1"/>
    <col min="4628" max="4628" width="10.28515625" style="159" customWidth="1"/>
    <col min="4629" max="4629" width="11.42578125" style="159"/>
    <col min="4630" max="4630" width="12.140625" style="159" customWidth="1"/>
    <col min="4631" max="4631" width="10.5703125" style="159" customWidth="1"/>
    <col min="4632" max="4632" width="12.42578125" style="159" customWidth="1"/>
    <col min="4633" max="4633" width="15.140625" style="159" customWidth="1"/>
    <col min="4634" max="4634" width="13.5703125" style="159" customWidth="1"/>
    <col min="4635" max="4635" width="13.140625" style="159" customWidth="1"/>
    <col min="4636" max="4636" width="15.7109375" style="159" customWidth="1"/>
    <col min="4637" max="4637" width="37.5703125" style="159" customWidth="1"/>
    <col min="4638" max="4859" width="11.42578125" style="159"/>
    <col min="4860" max="4860" width="10.5703125" style="159" customWidth="1"/>
    <col min="4861" max="4861" width="4.85546875" style="159" customWidth="1"/>
    <col min="4862" max="4862" width="32.42578125" style="159" customWidth="1"/>
    <col min="4863" max="4863" width="9.85546875" style="159" customWidth="1"/>
    <col min="4864" max="4864" width="10.140625" style="159" customWidth="1"/>
    <col min="4865" max="4865" width="12.28515625" style="159" customWidth="1"/>
    <col min="4866" max="4866" width="15.42578125" style="159" customWidth="1"/>
    <col min="4867" max="4867" width="11.85546875" style="159" customWidth="1"/>
    <col min="4868" max="4868" width="13.28515625" style="159" customWidth="1"/>
    <col min="4869" max="4869" width="15.28515625" style="159" customWidth="1"/>
    <col min="4870" max="4870" width="11.85546875" style="159" customWidth="1"/>
    <col min="4871" max="4871" width="6.140625" style="159" customWidth="1"/>
    <col min="4872" max="4872" width="11.85546875" style="159" customWidth="1"/>
    <col min="4873" max="4873" width="9.42578125" style="159" customWidth="1"/>
    <col min="4874" max="4874" width="14.7109375" style="159" customWidth="1"/>
    <col min="4875" max="4875" width="11.5703125" style="159" customWidth="1"/>
    <col min="4876" max="4876" width="0.42578125" style="159" customWidth="1"/>
    <col min="4877" max="4877" width="10.5703125" style="159" bestFit="1" customWidth="1"/>
    <col min="4878" max="4878" width="12.28515625" style="159" customWidth="1"/>
    <col min="4879" max="4879" width="12.5703125" style="159" customWidth="1"/>
    <col min="4880" max="4880" width="10.5703125" style="159" customWidth="1"/>
    <col min="4881" max="4881" width="10.140625" style="159" customWidth="1"/>
    <col min="4882" max="4882" width="8.42578125" style="159" customWidth="1"/>
    <col min="4883" max="4883" width="18.85546875" style="159" customWidth="1"/>
    <col min="4884" max="4884" width="10.28515625" style="159" customWidth="1"/>
    <col min="4885" max="4885" width="11.42578125" style="159"/>
    <col min="4886" max="4886" width="12.140625" style="159" customWidth="1"/>
    <col min="4887" max="4887" width="10.5703125" style="159" customWidth="1"/>
    <col min="4888" max="4888" width="12.42578125" style="159" customWidth="1"/>
    <col min="4889" max="4889" width="15.140625" style="159" customWidth="1"/>
    <col min="4890" max="4890" width="13.5703125" style="159" customWidth="1"/>
    <col min="4891" max="4891" width="13.140625" style="159" customWidth="1"/>
    <col min="4892" max="4892" width="15.7109375" style="159" customWidth="1"/>
    <col min="4893" max="4893" width="37.5703125" style="159" customWidth="1"/>
    <col min="4894" max="5115" width="11.42578125" style="159"/>
    <col min="5116" max="5116" width="10.5703125" style="159" customWidth="1"/>
    <col min="5117" max="5117" width="4.85546875" style="159" customWidth="1"/>
    <col min="5118" max="5118" width="32.42578125" style="159" customWidth="1"/>
    <col min="5119" max="5119" width="9.85546875" style="159" customWidth="1"/>
    <col min="5120" max="5120" width="10.140625" style="159" customWidth="1"/>
    <col min="5121" max="5121" width="12.28515625" style="159" customWidth="1"/>
    <col min="5122" max="5122" width="15.42578125" style="159" customWidth="1"/>
    <col min="5123" max="5123" width="11.85546875" style="159" customWidth="1"/>
    <col min="5124" max="5124" width="13.28515625" style="159" customWidth="1"/>
    <col min="5125" max="5125" width="15.28515625" style="159" customWidth="1"/>
    <col min="5126" max="5126" width="11.85546875" style="159" customWidth="1"/>
    <col min="5127" max="5127" width="6.140625" style="159" customWidth="1"/>
    <col min="5128" max="5128" width="11.85546875" style="159" customWidth="1"/>
    <col min="5129" max="5129" width="9.42578125" style="159" customWidth="1"/>
    <col min="5130" max="5130" width="14.7109375" style="159" customWidth="1"/>
    <col min="5131" max="5131" width="11.5703125" style="159" customWidth="1"/>
    <col min="5132" max="5132" width="0.42578125" style="159" customWidth="1"/>
    <col min="5133" max="5133" width="10.5703125" style="159" bestFit="1" customWidth="1"/>
    <col min="5134" max="5134" width="12.28515625" style="159" customWidth="1"/>
    <col min="5135" max="5135" width="12.5703125" style="159" customWidth="1"/>
    <col min="5136" max="5136" width="10.5703125" style="159" customWidth="1"/>
    <col min="5137" max="5137" width="10.140625" style="159" customWidth="1"/>
    <col min="5138" max="5138" width="8.42578125" style="159" customWidth="1"/>
    <col min="5139" max="5139" width="18.85546875" style="159" customWidth="1"/>
    <col min="5140" max="5140" width="10.28515625" style="159" customWidth="1"/>
    <col min="5141" max="5141" width="11.42578125" style="159"/>
    <col min="5142" max="5142" width="12.140625" style="159" customWidth="1"/>
    <col min="5143" max="5143" width="10.5703125" style="159" customWidth="1"/>
    <col min="5144" max="5144" width="12.42578125" style="159" customWidth="1"/>
    <col min="5145" max="5145" width="15.140625" style="159" customWidth="1"/>
    <col min="5146" max="5146" width="13.5703125" style="159" customWidth="1"/>
    <col min="5147" max="5147" width="13.140625" style="159" customWidth="1"/>
    <col min="5148" max="5148" width="15.7109375" style="159" customWidth="1"/>
    <col min="5149" max="5149" width="37.5703125" style="159" customWidth="1"/>
    <col min="5150" max="5371" width="11.42578125" style="159"/>
    <col min="5372" max="5372" width="10.5703125" style="159" customWidth="1"/>
    <col min="5373" max="5373" width="4.85546875" style="159" customWidth="1"/>
    <col min="5374" max="5374" width="32.42578125" style="159" customWidth="1"/>
    <col min="5375" max="5375" width="9.85546875" style="159" customWidth="1"/>
    <col min="5376" max="5376" width="10.140625" style="159" customWidth="1"/>
    <col min="5377" max="5377" width="12.28515625" style="159" customWidth="1"/>
    <col min="5378" max="5378" width="15.42578125" style="159" customWidth="1"/>
    <col min="5379" max="5379" width="11.85546875" style="159" customWidth="1"/>
    <col min="5380" max="5380" width="13.28515625" style="159" customWidth="1"/>
    <col min="5381" max="5381" width="15.28515625" style="159" customWidth="1"/>
    <col min="5382" max="5382" width="11.85546875" style="159" customWidth="1"/>
    <col min="5383" max="5383" width="6.140625" style="159" customWidth="1"/>
    <col min="5384" max="5384" width="11.85546875" style="159" customWidth="1"/>
    <col min="5385" max="5385" width="9.42578125" style="159" customWidth="1"/>
    <col min="5386" max="5386" width="14.7109375" style="159" customWidth="1"/>
    <col min="5387" max="5387" width="11.5703125" style="159" customWidth="1"/>
    <col min="5388" max="5388" width="0.42578125" style="159" customWidth="1"/>
    <col min="5389" max="5389" width="10.5703125" style="159" bestFit="1" customWidth="1"/>
    <col min="5390" max="5390" width="12.28515625" style="159" customWidth="1"/>
    <col min="5391" max="5391" width="12.5703125" style="159" customWidth="1"/>
    <col min="5392" max="5392" width="10.5703125" style="159" customWidth="1"/>
    <col min="5393" max="5393" width="10.140625" style="159" customWidth="1"/>
    <col min="5394" max="5394" width="8.42578125" style="159" customWidth="1"/>
    <col min="5395" max="5395" width="18.85546875" style="159" customWidth="1"/>
    <col min="5396" max="5396" width="10.28515625" style="159" customWidth="1"/>
    <col min="5397" max="5397" width="11.42578125" style="159"/>
    <col min="5398" max="5398" width="12.140625" style="159" customWidth="1"/>
    <col min="5399" max="5399" width="10.5703125" style="159" customWidth="1"/>
    <col min="5400" max="5400" width="12.42578125" style="159" customWidth="1"/>
    <col min="5401" max="5401" width="15.140625" style="159" customWidth="1"/>
    <col min="5402" max="5402" width="13.5703125" style="159" customWidth="1"/>
    <col min="5403" max="5403" width="13.140625" style="159" customWidth="1"/>
    <col min="5404" max="5404" width="15.7109375" style="159" customWidth="1"/>
    <col min="5405" max="5405" width="37.5703125" style="159" customWidth="1"/>
    <col min="5406" max="5627" width="11.42578125" style="159"/>
    <col min="5628" max="5628" width="10.5703125" style="159" customWidth="1"/>
    <col min="5629" max="5629" width="4.85546875" style="159" customWidth="1"/>
    <col min="5630" max="5630" width="32.42578125" style="159" customWidth="1"/>
    <col min="5631" max="5631" width="9.85546875" style="159" customWidth="1"/>
    <col min="5632" max="5632" width="10.140625" style="159" customWidth="1"/>
    <col min="5633" max="5633" width="12.28515625" style="159" customWidth="1"/>
    <col min="5634" max="5634" width="15.42578125" style="159" customWidth="1"/>
    <col min="5635" max="5635" width="11.85546875" style="159" customWidth="1"/>
    <col min="5636" max="5636" width="13.28515625" style="159" customWidth="1"/>
    <col min="5637" max="5637" width="15.28515625" style="159" customWidth="1"/>
    <col min="5638" max="5638" width="11.85546875" style="159" customWidth="1"/>
    <col min="5639" max="5639" width="6.140625" style="159" customWidth="1"/>
    <col min="5640" max="5640" width="11.85546875" style="159" customWidth="1"/>
    <col min="5641" max="5641" width="9.42578125" style="159" customWidth="1"/>
    <col min="5642" max="5642" width="14.7109375" style="159" customWidth="1"/>
    <col min="5643" max="5643" width="11.5703125" style="159" customWidth="1"/>
    <col min="5644" max="5644" width="0.42578125" style="159" customWidth="1"/>
    <col min="5645" max="5645" width="10.5703125" style="159" bestFit="1" customWidth="1"/>
    <col min="5646" max="5646" width="12.28515625" style="159" customWidth="1"/>
    <col min="5647" max="5647" width="12.5703125" style="159" customWidth="1"/>
    <col min="5648" max="5648" width="10.5703125" style="159" customWidth="1"/>
    <col min="5649" max="5649" width="10.140625" style="159" customWidth="1"/>
    <col min="5650" max="5650" width="8.42578125" style="159" customWidth="1"/>
    <col min="5651" max="5651" width="18.85546875" style="159" customWidth="1"/>
    <col min="5652" max="5652" width="10.28515625" style="159" customWidth="1"/>
    <col min="5653" max="5653" width="11.42578125" style="159"/>
    <col min="5654" max="5654" width="12.140625" style="159" customWidth="1"/>
    <col min="5655" max="5655" width="10.5703125" style="159" customWidth="1"/>
    <col min="5656" max="5656" width="12.42578125" style="159" customWidth="1"/>
    <col min="5657" max="5657" width="15.140625" style="159" customWidth="1"/>
    <col min="5658" max="5658" width="13.5703125" style="159" customWidth="1"/>
    <col min="5659" max="5659" width="13.140625" style="159" customWidth="1"/>
    <col min="5660" max="5660" width="15.7109375" style="159" customWidth="1"/>
    <col min="5661" max="5661" width="37.5703125" style="159" customWidth="1"/>
    <col min="5662" max="5883" width="11.42578125" style="159"/>
    <col min="5884" max="5884" width="10.5703125" style="159" customWidth="1"/>
    <col min="5885" max="5885" width="4.85546875" style="159" customWidth="1"/>
    <col min="5886" max="5886" width="32.42578125" style="159" customWidth="1"/>
    <col min="5887" max="5887" width="9.85546875" style="159" customWidth="1"/>
    <col min="5888" max="5888" width="10.140625" style="159" customWidth="1"/>
    <col min="5889" max="5889" width="12.28515625" style="159" customWidth="1"/>
    <col min="5890" max="5890" width="15.42578125" style="159" customWidth="1"/>
    <col min="5891" max="5891" width="11.85546875" style="159" customWidth="1"/>
    <col min="5892" max="5892" width="13.28515625" style="159" customWidth="1"/>
    <col min="5893" max="5893" width="15.28515625" style="159" customWidth="1"/>
    <col min="5894" max="5894" width="11.85546875" style="159" customWidth="1"/>
    <col min="5895" max="5895" width="6.140625" style="159" customWidth="1"/>
    <col min="5896" max="5896" width="11.85546875" style="159" customWidth="1"/>
    <col min="5897" max="5897" width="9.42578125" style="159" customWidth="1"/>
    <col min="5898" max="5898" width="14.7109375" style="159" customWidth="1"/>
    <col min="5899" max="5899" width="11.5703125" style="159" customWidth="1"/>
    <col min="5900" max="5900" width="0.42578125" style="159" customWidth="1"/>
    <col min="5901" max="5901" width="10.5703125" style="159" bestFit="1" customWidth="1"/>
    <col min="5902" max="5902" width="12.28515625" style="159" customWidth="1"/>
    <col min="5903" max="5903" width="12.5703125" style="159" customWidth="1"/>
    <col min="5904" max="5904" width="10.5703125" style="159" customWidth="1"/>
    <col min="5905" max="5905" width="10.140625" style="159" customWidth="1"/>
    <col min="5906" max="5906" width="8.42578125" style="159" customWidth="1"/>
    <col min="5907" max="5907" width="18.85546875" style="159" customWidth="1"/>
    <col min="5908" max="5908" width="10.28515625" style="159" customWidth="1"/>
    <col min="5909" max="5909" width="11.42578125" style="159"/>
    <col min="5910" max="5910" width="12.140625" style="159" customWidth="1"/>
    <col min="5911" max="5911" width="10.5703125" style="159" customWidth="1"/>
    <col min="5912" max="5912" width="12.42578125" style="159" customWidth="1"/>
    <col min="5913" max="5913" width="15.140625" style="159" customWidth="1"/>
    <col min="5914" max="5914" width="13.5703125" style="159" customWidth="1"/>
    <col min="5915" max="5915" width="13.140625" style="159" customWidth="1"/>
    <col min="5916" max="5916" width="15.7109375" style="159" customWidth="1"/>
    <col min="5917" max="5917" width="37.5703125" style="159" customWidth="1"/>
    <col min="5918" max="6139" width="11.42578125" style="159"/>
    <col min="6140" max="6140" width="10.5703125" style="159" customWidth="1"/>
    <col min="6141" max="6141" width="4.85546875" style="159" customWidth="1"/>
    <col min="6142" max="6142" width="32.42578125" style="159" customWidth="1"/>
    <col min="6143" max="6143" width="9.85546875" style="159" customWidth="1"/>
    <col min="6144" max="6144" width="10.140625" style="159" customWidth="1"/>
    <col min="6145" max="6145" width="12.28515625" style="159" customWidth="1"/>
    <col min="6146" max="6146" width="15.42578125" style="159" customWidth="1"/>
    <col min="6147" max="6147" width="11.85546875" style="159" customWidth="1"/>
    <col min="6148" max="6148" width="13.28515625" style="159" customWidth="1"/>
    <col min="6149" max="6149" width="15.28515625" style="159" customWidth="1"/>
    <col min="6150" max="6150" width="11.85546875" style="159" customWidth="1"/>
    <col min="6151" max="6151" width="6.140625" style="159" customWidth="1"/>
    <col min="6152" max="6152" width="11.85546875" style="159" customWidth="1"/>
    <col min="6153" max="6153" width="9.42578125" style="159" customWidth="1"/>
    <col min="6154" max="6154" width="14.7109375" style="159" customWidth="1"/>
    <col min="6155" max="6155" width="11.5703125" style="159" customWidth="1"/>
    <col min="6156" max="6156" width="0.42578125" style="159" customWidth="1"/>
    <col min="6157" max="6157" width="10.5703125" style="159" bestFit="1" customWidth="1"/>
    <col min="6158" max="6158" width="12.28515625" style="159" customWidth="1"/>
    <col min="6159" max="6159" width="12.5703125" style="159" customWidth="1"/>
    <col min="6160" max="6160" width="10.5703125" style="159" customWidth="1"/>
    <col min="6161" max="6161" width="10.140625" style="159" customWidth="1"/>
    <col min="6162" max="6162" width="8.42578125" style="159" customWidth="1"/>
    <col min="6163" max="6163" width="18.85546875" style="159" customWidth="1"/>
    <col min="6164" max="6164" width="10.28515625" style="159" customWidth="1"/>
    <col min="6165" max="6165" width="11.42578125" style="159"/>
    <col min="6166" max="6166" width="12.140625" style="159" customWidth="1"/>
    <col min="6167" max="6167" width="10.5703125" style="159" customWidth="1"/>
    <col min="6168" max="6168" width="12.42578125" style="159" customWidth="1"/>
    <col min="6169" max="6169" width="15.140625" style="159" customWidth="1"/>
    <col min="6170" max="6170" width="13.5703125" style="159" customWidth="1"/>
    <col min="6171" max="6171" width="13.140625" style="159" customWidth="1"/>
    <col min="6172" max="6172" width="15.7109375" style="159" customWidth="1"/>
    <col min="6173" max="6173" width="37.5703125" style="159" customWidth="1"/>
    <col min="6174" max="6395" width="11.42578125" style="159"/>
    <col min="6396" max="6396" width="10.5703125" style="159" customWidth="1"/>
    <col min="6397" max="6397" width="4.85546875" style="159" customWidth="1"/>
    <col min="6398" max="6398" width="32.42578125" style="159" customWidth="1"/>
    <col min="6399" max="6399" width="9.85546875" style="159" customWidth="1"/>
    <col min="6400" max="6400" width="10.140625" style="159" customWidth="1"/>
    <col min="6401" max="6401" width="12.28515625" style="159" customWidth="1"/>
    <col min="6402" max="6402" width="15.42578125" style="159" customWidth="1"/>
    <col min="6403" max="6403" width="11.85546875" style="159" customWidth="1"/>
    <col min="6404" max="6404" width="13.28515625" style="159" customWidth="1"/>
    <col min="6405" max="6405" width="15.28515625" style="159" customWidth="1"/>
    <col min="6406" max="6406" width="11.85546875" style="159" customWidth="1"/>
    <col min="6407" max="6407" width="6.140625" style="159" customWidth="1"/>
    <col min="6408" max="6408" width="11.85546875" style="159" customWidth="1"/>
    <col min="6409" max="6409" width="9.42578125" style="159" customWidth="1"/>
    <col min="6410" max="6410" width="14.7109375" style="159" customWidth="1"/>
    <col min="6411" max="6411" width="11.5703125" style="159" customWidth="1"/>
    <col min="6412" max="6412" width="0.42578125" style="159" customWidth="1"/>
    <col min="6413" max="6413" width="10.5703125" style="159" bestFit="1" customWidth="1"/>
    <col min="6414" max="6414" width="12.28515625" style="159" customWidth="1"/>
    <col min="6415" max="6415" width="12.5703125" style="159" customWidth="1"/>
    <col min="6416" max="6416" width="10.5703125" style="159" customWidth="1"/>
    <col min="6417" max="6417" width="10.140625" style="159" customWidth="1"/>
    <col min="6418" max="6418" width="8.42578125" style="159" customWidth="1"/>
    <col min="6419" max="6419" width="18.85546875" style="159" customWidth="1"/>
    <col min="6420" max="6420" width="10.28515625" style="159" customWidth="1"/>
    <col min="6421" max="6421" width="11.42578125" style="159"/>
    <col min="6422" max="6422" width="12.140625" style="159" customWidth="1"/>
    <col min="6423" max="6423" width="10.5703125" style="159" customWidth="1"/>
    <col min="6424" max="6424" width="12.42578125" style="159" customWidth="1"/>
    <col min="6425" max="6425" width="15.140625" style="159" customWidth="1"/>
    <col min="6426" max="6426" width="13.5703125" style="159" customWidth="1"/>
    <col min="6427" max="6427" width="13.140625" style="159" customWidth="1"/>
    <col min="6428" max="6428" width="15.7109375" style="159" customWidth="1"/>
    <col min="6429" max="6429" width="37.5703125" style="159" customWidth="1"/>
    <col min="6430" max="6651" width="11.42578125" style="159"/>
    <col min="6652" max="6652" width="10.5703125" style="159" customWidth="1"/>
    <col min="6653" max="6653" width="4.85546875" style="159" customWidth="1"/>
    <col min="6654" max="6654" width="32.42578125" style="159" customWidth="1"/>
    <col min="6655" max="6655" width="9.85546875" style="159" customWidth="1"/>
    <col min="6656" max="6656" width="10.140625" style="159" customWidth="1"/>
    <col min="6657" max="6657" width="12.28515625" style="159" customWidth="1"/>
    <col min="6658" max="6658" width="15.42578125" style="159" customWidth="1"/>
    <col min="6659" max="6659" width="11.85546875" style="159" customWidth="1"/>
    <col min="6660" max="6660" width="13.28515625" style="159" customWidth="1"/>
    <col min="6661" max="6661" width="15.28515625" style="159" customWidth="1"/>
    <col min="6662" max="6662" width="11.85546875" style="159" customWidth="1"/>
    <col min="6663" max="6663" width="6.140625" style="159" customWidth="1"/>
    <col min="6664" max="6664" width="11.85546875" style="159" customWidth="1"/>
    <col min="6665" max="6665" width="9.42578125" style="159" customWidth="1"/>
    <col min="6666" max="6666" width="14.7109375" style="159" customWidth="1"/>
    <col min="6667" max="6667" width="11.5703125" style="159" customWidth="1"/>
    <col min="6668" max="6668" width="0.42578125" style="159" customWidth="1"/>
    <col min="6669" max="6669" width="10.5703125" style="159" bestFit="1" customWidth="1"/>
    <col min="6670" max="6670" width="12.28515625" style="159" customWidth="1"/>
    <col min="6671" max="6671" width="12.5703125" style="159" customWidth="1"/>
    <col min="6672" max="6672" width="10.5703125" style="159" customWidth="1"/>
    <col min="6673" max="6673" width="10.140625" style="159" customWidth="1"/>
    <col min="6674" max="6674" width="8.42578125" style="159" customWidth="1"/>
    <col min="6675" max="6675" width="18.85546875" style="159" customWidth="1"/>
    <col min="6676" max="6676" width="10.28515625" style="159" customWidth="1"/>
    <col min="6677" max="6677" width="11.42578125" style="159"/>
    <col min="6678" max="6678" width="12.140625" style="159" customWidth="1"/>
    <col min="6679" max="6679" width="10.5703125" style="159" customWidth="1"/>
    <col min="6680" max="6680" width="12.42578125" style="159" customWidth="1"/>
    <col min="6681" max="6681" width="15.140625" style="159" customWidth="1"/>
    <col min="6682" max="6682" width="13.5703125" style="159" customWidth="1"/>
    <col min="6683" max="6683" width="13.140625" style="159" customWidth="1"/>
    <col min="6684" max="6684" width="15.7109375" style="159" customWidth="1"/>
    <col min="6685" max="6685" width="37.5703125" style="159" customWidth="1"/>
    <col min="6686" max="6907" width="11.42578125" style="159"/>
    <col min="6908" max="6908" width="10.5703125" style="159" customWidth="1"/>
    <col min="6909" max="6909" width="4.85546875" style="159" customWidth="1"/>
    <col min="6910" max="6910" width="32.42578125" style="159" customWidth="1"/>
    <col min="6911" max="6911" width="9.85546875" style="159" customWidth="1"/>
    <col min="6912" max="6912" width="10.140625" style="159" customWidth="1"/>
    <col min="6913" max="6913" width="12.28515625" style="159" customWidth="1"/>
    <col min="6914" max="6914" width="15.42578125" style="159" customWidth="1"/>
    <col min="6915" max="6915" width="11.85546875" style="159" customWidth="1"/>
    <col min="6916" max="6916" width="13.28515625" style="159" customWidth="1"/>
    <col min="6917" max="6917" width="15.28515625" style="159" customWidth="1"/>
    <col min="6918" max="6918" width="11.85546875" style="159" customWidth="1"/>
    <col min="6919" max="6919" width="6.140625" style="159" customWidth="1"/>
    <col min="6920" max="6920" width="11.85546875" style="159" customWidth="1"/>
    <col min="6921" max="6921" width="9.42578125" style="159" customWidth="1"/>
    <col min="6922" max="6922" width="14.7109375" style="159" customWidth="1"/>
    <col min="6923" max="6923" width="11.5703125" style="159" customWidth="1"/>
    <col min="6924" max="6924" width="0.42578125" style="159" customWidth="1"/>
    <col min="6925" max="6925" width="10.5703125" style="159" bestFit="1" customWidth="1"/>
    <col min="6926" max="6926" width="12.28515625" style="159" customWidth="1"/>
    <col min="6927" max="6927" width="12.5703125" style="159" customWidth="1"/>
    <col min="6928" max="6928" width="10.5703125" style="159" customWidth="1"/>
    <col min="6929" max="6929" width="10.140625" style="159" customWidth="1"/>
    <col min="6930" max="6930" width="8.42578125" style="159" customWidth="1"/>
    <col min="6931" max="6931" width="18.85546875" style="159" customWidth="1"/>
    <col min="6932" max="6932" width="10.28515625" style="159" customWidth="1"/>
    <col min="6933" max="6933" width="11.42578125" style="159"/>
    <col min="6934" max="6934" width="12.140625" style="159" customWidth="1"/>
    <col min="6935" max="6935" width="10.5703125" style="159" customWidth="1"/>
    <col min="6936" max="6936" width="12.42578125" style="159" customWidth="1"/>
    <col min="6937" max="6937" width="15.140625" style="159" customWidth="1"/>
    <col min="6938" max="6938" width="13.5703125" style="159" customWidth="1"/>
    <col min="6939" max="6939" width="13.140625" style="159" customWidth="1"/>
    <col min="6940" max="6940" width="15.7109375" style="159" customWidth="1"/>
    <col min="6941" max="6941" width="37.5703125" style="159" customWidth="1"/>
    <col min="6942" max="7163" width="11.42578125" style="159"/>
    <col min="7164" max="7164" width="10.5703125" style="159" customWidth="1"/>
    <col min="7165" max="7165" width="4.85546875" style="159" customWidth="1"/>
    <col min="7166" max="7166" width="32.42578125" style="159" customWidth="1"/>
    <col min="7167" max="7167" width="9.85546875" style="159" customWidth="1"/>
    <col min="7168" max="7168" width="10.140625" style="159" customWidth="1"/>
    <col min="7169" max="7169" width="12.28515625" style="159" customWidth="1"/>
    <col min="7170" max="7170" width="15.42578125" style="159" customWidth="1"/>
    <col min="7171" max="7171" width="11.85546875" style="159" customWidth="1"/>
    <col min="7172" max="7172" width="13.28515625" style="159" customWidth="1"/>
    <col min="7173" max="7173" width="15.28515625" style="159" customWidth="1"/>
    <col min="7174" max="7174" width="11.85546875" style="159" customWidth="1"/>
    <col min="7175" max="7175" width="6.140625" style="159" customWidth="1"/>
    <col min="7176" max="7176" width="11.85546875" style="159" customWidth="1"/>
    <col min="7177" max="7177" width="9.42578125" style="159" customWidth="1"/>
    <col min="7178" max="7178" width="14.7109375" style="159" customWidth="1"/>
    <col min="7179" max="7179" width="11.5703125" style="159" customWidth="1"/>
    <col min="7180" max="7180" width="0.42578125" style="159" customWidth="1"/>
    <col min="7181" max="7181" width="10.5703125" style="159" bestFit="1" customWidth="1"/>
    <col min="7182" max="7182" width="12.28515625" style="159" customWidth="1"/>
    <col min="7183" max="7183" width="12.5703125" style="159" customWidth="1"/>
    <col min="7184" max="7184" width="10.5703125" style="159" customWidth="1"/>
    <col min="7185" max="7185" width="10.140625" style="159" customWidth="1"/>
    <col min="7186" max="7186" width="8.42578125" style="159" customWidth="1"/>
    <col min="7187" max="7187" width="18.85546875" style="159" customWidth="1"/>
    <col min="7188" max="7188" width="10.28515625" style="159" customWidth="1"/>
    <col min="7189" max="7189" width="11.42578125" style="159"/>
    <col min="7190" max="7190" width="12.140625" style="159" customWidth="1"/>
    <col min="7191" max="7191" width="10.5703125" style="159" customWidth="1"/>
    <col min="7192" max="7192" width="12.42578125" style="159" customWidth="1"/>
    <col min="7193" max="7193" width="15.140625" style="159" customWidth="1"/>
    <col min="7194" max="7194" width="13.5703125" style="159" customWidth="1"/>
    <col min="7195" max="7195" width="13.140625" style="159" customWidth="1"/>
    <col min="7196" max="7196" width="15.7109375" style="159" customWidth="1"/>
    <col min="7197" max="7197" width="37.5703125" style="159" customWidth="1"/>
    <col min="7198" max="7419" width="11.42578125" style="159"/>
    <col min="7420" max="7420" width="10.5703125" style="159" customWidth="1"/>
    <col min="7421" max="7421" width="4.85546875" style="159" customWidth="1"/>
    <col min="7422" max="7422" width="32.42578125" style="159" customWidth="1"/>
    <col min="7423" max="7423" width="9.85546875" style="159" customWidth="1"/>
    <col min="7424" max="7424" width="10.140625" style="159" customWidth="1"/>
    <col min="7425" max="7425" width="12.28515625" style="159" customWidth="1"/>
    <col min="7426" max="7426" width="15.42578125" style="159" customWidth="1"/>
    <col min="7427" max="7427" width="11.85546875" style="159" customWidth="1"/>
    <col min="7428" max="7428" width="13.28515625" style="159" customWidth="1"/>
    <col min="7429" max="7429" width="15.28515625" style="159" customWidth="1"/>
    <col min="7430" max="7430" width="11.85546875" style="159" customWidth="1"/>
    <col min="7431" max="7431" width="6.140625" style="159" customWidth="1"/>
    <col min="7432" max="7432" width="11.85546875" style="159" customWidth="1"/>
    <col min="7433" max="7433" width="9.42578125" style="159" customWidth="1"/>
    <col min="7434" max="7434" width="14.7109375" style="159" customWidth="1"/>
    <col min="7435" max="7435" width="11.5703125" style="159" customWidth="1"/>
    <col min="7436" max="7436" width="0.42578125" style="159" customWidth="1"/>
    <col min="7437" max="7437" width="10.5703125" style="159" bestFit="1" customWidth="1"/>
    <col min="7438" max="7438" width="12.28515625" style="159" customWidth="1"/>
    <col min="7439" max="7439" width="12.5703125" style="159" customWidth="1"/>
    <col min="7440" max="7440" width="10.5703125" style="159" customWidth="1"/>
    <col min="7441" max="7441" width="10.140625" style="159" customWidth="1"/>
    <col min="7442" max="7442" width="8.42578125" style="159" customWidth="1"/>
    <col min="7443" max="7443" width="18.85546875" style="159" customWidth="1"/>
    <col min="7444" max="7444" width="10.28515625" style="159" customWidth="1"/>
    <col min="7445" max="7445" width="11.42578125" style="159"/>
    <col min="7446" max="7446" width="12.140625" style="159" customWidth="1"/>
    <col min="7447" max="7447" width="10.5703125" style="159" customWidth="1"/>
    <col min="7448" max="7448" width="12.42578125" style="159" customWidth="1"/>
    <col min="7449" max="7449" width="15.140625" style="159" customWidth="1"/>
    <col min="7450" max="7450" width="13.5703125" style="159" customWidth="1"/>
    <col min="7451" max="7451" width="13.140625" style="159" customWidth="1"/>
    <col min="7452" max="7452" width="15.7109375" style="159" customWidth="1"/>
    <col min="7453" max="7453" width="37.5703125" style="159" customWidth="1"/>
    <col min="7454" max="7675" width="11.42578125" style="159"/>
    <col min="7676" max="7676" width="10.5703125" style="159" customWidth="1"/>
    <col min="7677" max="7677" width="4.85546875" style="159" customWidth="1"/>
    <col min="7678" max="7678" width="32.42578125" style="159" customWidth="1"/>
    <col min="7679" max="7679" width="9.85546875" style="159" customWidth="1"/>
    <col min="7680" max="7680" width="10.140625" style="159" customWidth="1"/>
    <col min="7681" max="7681" width="12.28515625" style="159" customWidth="1"/>
    <col min="7682" max="7682" width="15.42578125" style="159" customWidth="1"/>
    <col min="7683" max="7683" width="11.85546875" style="159" customWidth="1"/>
    <col min="7684" max="7684" width="13.28515625" style="159" customWidth="1"/>
    <col min="7685" max="7685" width="15.28515625" style="159" customWidth="1"/>
    <col min="7686" max="7686" width="11.85546875" style="159" customWidth="1"/>
    <col min="7687" max="7687" width="6.140625" style="159" customWidth="1"/>
    <col min="7688" max="7688" width="11.85546875" style="159" customWidth="1"/>
    <col min="7689" max="7689" width="9.42578125" style="159" customWidth="1"/>
    <col min="7690" max="7690" width="14.7109375" style="159" customWidth="1"/>
    <col min="7691" max="7691" width="11.5703125" style="159" customWidth="1"/>
    <col min="7692" max="7692" width="0.42578125" style="159" customWidth="1"/>
    <col min="7693" max="7693" width="10.5703125" style="159" bestFit="1" customWidth="1"/>
    <col min="7694" max="7694" width="12.28515625" style="159" customWidth="1"/>
    <col min="7695" max="7695" width="12.5703125" style="159" customWidth="1"/>
    <col min="7696" max="7696" width="10.5703125" style="159" customWidth="1"/>
    <col min="7697" max="7697" width="10.140625" style="159" customWidth="1"/>
    <col min="7698" max="7698" width="8.42578125" style="159" customWidth="1"/>
    <col min="7699" max="7699" width="18.85546875" style="159" customWidth="1"/>
    <col min="7700" max="7700" width="10.28515625" style="159" customWidth="1"/>
    <col min="7701" max="7701" width="11.42578125" style="159"/>
    <col min="7702" max="7702" width="12.140625" style="159" customWidth="1"/>
    <col min="7703" max="7703" width="10.5703125" style="159" customWidth="1"/>
    <col min="7704" max="7704" width="12.42578125" style="159" customWidth="1"/>
    <col min="7705" max="7705" width="15.140625" style="159" customWidth="1"/>
    <col min="7706" max="7706" width="13.5703125" style="159" customWidth="1"/>
    <col min="7707" max="7707" width="13.140625" style="159" customWidth="1"/>
    <col min="7708" max="7708" width="15.7109375" style="159" customWidth="1"/>
    <col min="7709" max="7709" width="37.5703125" style="159" customWidth="1"/>
    <col min="7710" max="7931" width="11.42578125" style="159"/>
    <col min="7932" max="7932" width="10.5703125" style="159" customWidth="1"/>
    <col min="7933" max="7933" width="4.85546875" style="159" customWidth="1"/>
    <col min="7934" max="7934" width="32.42578125" style="159" customWidth="1"/>
    <col min="7935" max="7935" width="9.85546875" style="159" customWidth="1"/>
    <col min="7936" max="7936" width="10.140625" style="159" customWidth="1"/>
    <col min="7937" max="7937" width="12.28515625" style="159" customWidth="1"/>
    <col min="7938" max="7938" width="15.42578125" style="159" customWidth="1"/>
    <col min="7939" max="7939" width="11.85546875" style="159" customWidth="1"/>
    <col min="7940" max="7940" width="13.28515625" style="159" customWidth="1"/>
    <col min="7941" max="7941" width="15.28515625" style="159" customWidth="1"/>
    <col min="7942" max="7942" width="11.85546875" style="159" customWidth="1"/>
    <col min="7943" max="7943" width="6.140625" style="159" customWidth="1"/>
    <col min="7944" max="7944" width="11.85546875" style="159" customWidth="1"/>
    <col min="7945" max="7945" width="9.42578125" style="159" customWidth="1"/>
    <col min="7946" max="7946" width="14.7109375" style="159" customWidth="1"/>
    <col min="7947" max="7947" width="11.5703125" style="159" customWidth="1"/>
    <col min="7948" max="7948" width="0.42578125" style="159" customWidth="1"/>
    <col min="7949" max="7949" width="10.5703125" style="159" bestFit="1" customWidth="1"/>
    <col min="7950" max="7950" width="12.28515625" style="159" customWidth="1"/>
    <col min="7951" max="7951" width="12.5703125" style="159" customWidth="1"/>
    <col min="7952" max="7952" width="10.5703125" style="159" customWidth="1"/>
    <col min="7953" max="7953" width="10.140625" style="159" customWidth="1"/>
    <col min="7954" max="7954" width="8.42578125" style="159" customWidth="1"/>
    <col min="7955" max="7955" width="18.85546875" style="159" customWidth="1"/>
    <col min="7956" max="7956" width="10.28515625" style="159" customWidth="1"/>
    <col min="7957" max="7957" width="11.42578125" style="159"/>
    <col min="7958" max="7958" width="12.140625" style="159" customWidth="1"/>
    <col min="7959" max="7959" width="10.5703125" style="159" customWidth="1"/>
    <col min="7960" max="7960" width="12.42578125" style="159" customWidth="1"/>
    <col min="7961" max="7961" width="15.140625" style="159" customWidth="1"/>
    <col min="7962" max="7962" width="13.5703125" style="159" customWidth="1"/>
    <col min="7963" max="7963" width="13.140625" style="159" customWidth="1"/>
    <col min="7964" max="7964" width="15.7109375" style="159" customWidth="1"/>
    <col min="7965" max="7965" width="37.5703125" style="159" customWidth="1"/>
    <col min="7966" max="8187" width="11.42578125" style="159"/>
    <col min="8188" max="8188" width="10.5703125" style="159" customWidth="1"/>
    <col min="8189" max="8189" width="4.85546875" style="159" customWidth="1"/>
    <col min="8190" max="8190" width="32.42578125" style="159" customWidth="1"/>
    <col min="8191" max="8191" width="9.85546875" style="159" customWidth="1"/>
    <col min="8192" max="8192" width="10.140625" style="159" customWidth="1"/>
    <col min="8193" max="8193" width="12.28515625" style="159" customWidth="1"/>
    <col min="8194" max="8194" width="15.42578125" style="159" customWidth="1"/>
    <col min="8195" max="8195" width="11.85546875" style="159" customWidth="1"/>
    <col min="8196" max="8196" width="13.28515625" style="159" customWidth="1"/>
    <col min="8197" max="8197" width="15.28515625" style="159" customWidth="1"/>
    <col min="8198" max="8198" width="11.85546875" style="159" customWidth="1"/>
    <col min="8199" max="8199" width="6.140625" style="159" customWidth="1"/>
    <col min="8200" max="8200" width="11.85546875" style="159" customWidth="1"/>
    <col min="8201" max="8201" width="9.42578125" style="159" customWidth="1"/>
    <col min="8202" max="8202" width="14.7109375" style="159" customWidth="1"/>
    <col min="8203" max="8203" width="11.5703125" style="159" customWidth="1"/>
    <col min="8204" max="8204" width="0.42578125" style="159" customWidth="1"/>
    <col min="8205" max="8205" width="10.5703125" style="159" bestFit="1" customWidth="1"/>
    <col min="8206" max="8206" width="12.28515625" style="159" customWidth="1"/>
    <col min="8207" max="8207" width="12.5703125" style="159" customWidth="1"/>
    <col min="8208" max="8208" width="10.5703125" style="159" customWidth="1"/>
    <col min="8209" max="8209" width="10.140625" style="159" customWidth="1"/>
    <col min="8210" max="8210" width="8.42578125" style="159" customWidth="1"/>
    <col min="8211" max="8211" width="18.85546875" style="159" customWidth="1"/>
    <col min="8212" max="8212" width="10.28515625" style="159" customWidth="1"/>
    <col min="8213" max="8213" width="11.42578125" style="159"/>
    <col min="8214" max="8214" width="12.140625" style="159" customWidth="1"/>
    <col min="8215" max="8215" width="10.5703125" style="159" customWidth="1"/>
    <col min="8216" max="8216" width="12.42578125" style="159" customWidth="1"/>
    <col min="8217" max="8217" width="15.140625" style="159" customWidth="1"/>
    <col min="8218" max="8218" width="13.5703125" style="159" customWidth="1"/>
    <col min="8219" max="8219" width="13.140625" style="159" customWidth="1"/>
    <col min="8220" max="8220" width="15.7109375" style="159" customWidth="1"/>
    <col min="8221" max="8221" width="37.5703125" style="159" customWidth="1"/>
    <col min="8222" max="8443" width="11.42578125" style="159"/>
    <col min="8444" max="8444" width="10.5703125" style="159" customWidth="1"/>
    <col min="8445" max="8445" width="4.85546875" style="159" customWidth="1"/>
    <col min="8446" max="8446" width="32.42578125" style="159" customWidth="1"/>
    <col min="8447" max="8447" width="9.85546875" style="159" customWidth="1"/>
    <col min="8448" max="8448" width="10.140625" style="159" customWidth="1"/>
    <col min="8449" max="8449" width="12.28515625" style="159" customWidth="1"/>
    <col min="8450" max="8450" width="15.42578125" style="159" customWidth="1"/>
    <col min="8451" max="8451" width="11.85546875" style="159" customWidth="1"/>
    <col min="8452" max="8452" width="13.28515625" style="159" customWidth="1"/>
    <col min="8453" max="8453" width="15.28515625" style="159" customWidth="1"/>
    <col min="8454" max="8454" width="11.85546875" style="159" customWidth="1"/>
    <col min="8455" max="8455" width="6.140625" style="159" customWidth="1"/>
    <col min="8456" max="8456" width="11.85546875" style="159" customWidth="1"/>
    <col min="8457" max="8457" width="9.42578125" style="159" customWidth="1"/>
    <col min="8458" max="8458" width="14.7109375" style="159" customWidth="1"/>
    <col min="8459" max="8459" width="11.5703125" style="159" customWidth="1"/>
    <col min="8460" max="8460" width="0.42578125" style="159" customWidth="1"/>
    <col min="8461" max="8461" width="10.5703125" style="159" bestFit="1" customWidth="1"/>
    <col min="8462" max="8462" width="12.28515625" style="159" customWidth="1"/>
    <col min="8463" max="8463" width="12.5703125" style="159" customWidth="1"/>
    <col min="8464" max="8464" width="10.5703125" style="159" customWidth="1"/>
    <col min="8465" max="8465" width="10.140625" style="159" customWidth="1"/>
    <col min="8466" max="8466" width="8.42578125" style="159" customWidth="1"/>
    <col min="8467" max="8467" width="18.85546875" style="159" customWidth="1"/>
    <col min="8468" max="8468" width="10.28515625" style="159" customWidth="1"/>
    <col min="8469" max="8469" width="11.42578125" style="159"/>
    <col min="8470" max="8470" width="12.140625" style="159" customWidth="1"/>
    <col min="8471" max="8471" width="10.5703125" style="159" customWidth="1"/>
    <col min="8472" max="8472" width="12.42578125" style="159" customWidth="1"/>
    <col min="8473" max="8473" width="15.140625" style="159" customWidth="1"/>
    <col min="8474" max="8474" width="13.5703125" style="159" customWidth="1"/>
    <col min="8475" max="8475" width="13.140625" style="159" customWidth="1"/>
    <col min="8476" max="8476" width="15.7109375" style="159" customWidth="1"/>
    <col min="8477" max="8477" width="37.5703125" style="159" customWidth="1"/>
    <col min="8478" max="8699" width="11.42578125" style="159"/>
    <col min="8700" max="8700" width="10.5703125" style="159" customWidth="1"/>
    <col min="8701" max="8701" width="4.85546875" style="159" customWidth="1"/>
    <col min="8702" max="8702" width="32.42578125" style="159" customWidth="1"/>
    <col min="8703" max="8703" width="9.85546875" style="159" customWidth="1"/>
    <col min="8704" max="8704" width="10.140625" style="159" customWidth="1"/>
    <col min="8705" max="8705" width="12.28515625" style="159" customWidth="1"/>
    <col min="8706" max="8706" width="15.42578125" style="159" customWidth="1"/>
    <col min="8707" max="8707" width="11.85546875" style="159" customWidth="1"/>
    <col min="8708" max="8708" width="13.28515625" style="159" customWidth="1"/>
    <col min="8709" max="8709" width="15.28515625" style="159" customWidth="1"/>
    <col min="8710" max="8710" width="11.85546875" style="159" customWidth="1"/>
    <col min="8711" max="8711" width="6.140625" style="159" customWidth="1"/>
    <col min="8712" max="8712" width="11.85546875" style="159" customWidth="1"/>
    <col min="8713" max="8713" width="9.42578125" style="159" customWidth="1"/>
    <col min="8714" max="8714" width="14.7109375" style="159" customWidth="1"/>
    <col min="8715" max="8715" width="11.5703125" style="159" customWidth="1"/>
    <col min="8716" max="8716" width="0.42578125" style="159" customWidth="1"/>
    <col min="8717" max="8717" width="10.5703125" style="159" bestFit="1" customWidth="1"/>
    <col min="8718" max="8718" width="12.28515625" style="159" customWidth="1"/>
    <col min="8719" max="8719" width="12.5703125" style="159" customWidth="1"/>
    <col min="8720" max="8720" width="10.5703125" style="159" customWidth="1"/>
    <col min="8721" max="8721" width="10.140625" style="159" customWidth="1"/>
    <col min="8722" max="8722" width="8.42578125" style="159" customWidth="1"/>
    <col min="8723" max="8723" width="18.85546875" style="159" customWidth="1"/>
    <col min="8724" max="8724" width="10.28515625" style="159" customWidth="1"/>
    <col min="8725" max="8725" width="11.42578125" style="159"/>
    <col min="8726" max="8726" width="12.140625" style="159" customWidth="1"/>
    <col min="8727" max="8727" width="10.5703125" style="159" customWidth="1"/>
    <col min="8728" max="8728" width="12.42578125" style="159" customWidth="1"/>
    <col min="8729" max="8729" width="15.140625" style="159" customWidth="1"/>
    <col min="8730" max="8730" width="13.5703125" style="159" customWidth="1"/>
    <col min="8731" max="8731" width="13.140625" style="159" customWidth="1"/>
    <col min="8732" max="8732" width="15.7109375" style="159" customWidth="1"/>
    <col min="8733" max="8733" width="37.5703125" style="159" customWidth="1"/>
    <col min="8734" max="8955" width="11.42578125" style="159"/>
    <col min="8956" max="8956" width="10.5703125" style="159" customWidth="1"/>
    <col min="8957" max="8957" width="4.85546875" style="159" customWidth="1"/>
    <col min="8958" max="8958" width="32.42578125" style="159" customWidth="1"/>
    <col min="8959" max="8959" width="9.85546875" style="159" customWidth="1"/>
    <col min="8960" max="8960" width="10.140625" style="159" customWidth="1"/>
    <col min="8961" max="8961" width="12.28515625" style="159" customWidth="1"/>
    <col min="8962" max="8962" width="15.42578125" style="159" customWidth="1"/>
    <col min="8963" max="8963" width="11.85546875" style="159" customWidth="1"/>
    <col min="8964" max="8964" width="13.28515625" style="159" customWidth="1"/>
    <col min="8965" max="8965" width="15.28515625" style="159" customWidth="1"/>
    <col min="8966" max="8966" width="11.85546875" style="159" customWidth="1"/>
    <col min="8967" max="8967" width="6.140625" style="159" customWidth="1"/>
    <col min="8968" max="8968" width="11.85546875" style="159" customWidth="1"/>
    <col min="8969" max="8969" width="9.42578125" style="159" customWidth="1"/>
    <col min="8970" max="8970" width="14.7109375" style="159" customWidth="1"/>
    <col min="8971" max="8971" width="11.5703125" style="159" customWidth="1"/>
    <col min="8972" max="8972" width="0.42578125" style="159" customWidth="1"/>
    <col min="8973" max="8973" width="10.5703125" style="159" bestFit="1" customWidth="1"/>
    <col min="8974" max="8974" width="12.28515625" style="159" customWidth="1"/>
    <col min="8975" max="8975" width="12.5703125" style="159" customWidth="1"/>
    <col min="8976" max="8976" width="10.5703125" style="159" customWidth="1"/>
    <col min="8977" max="8977" width="10.140625" style="159" customWidth="1"/>
    <col min="8978" max="8978" width="8.42578125" style="159" customWidth="1"/>
    <col min="8979" max="8979" width="18.85546875" style="159" customWidth="1"/>
    <col min="8980" max="8980" width="10.28515625" style="159" customWidth="1"/>
    <col min="8981" max="8981" width="11.42578125" style="159"/>
    <col min="8982" max="8982" width="12.140625" style="159" customWidth="1"/>
    <col min="8983" max="8983" width="10.5703125" style="159" customWidth="1"/>
    <col min="8984" max="8984" width="12.42578125" style="159" customWidth="1"/>
    <col min="8985" max="8985" width="15.140625" style="159" customWidth="1"/>
    <col min="8986" max="8986" width="13.5703125" style="159" customWidth="1"/>
    <col min="8987" max="8987" width="13.140625" style="159" customWidth="1"/>
    <col min="8988" max="8988" width="15.7109375" style="159" customWidth="1"/>
    <col min="8989" max="8989" width="37.5703125" style="159" customWidth="1"/>
    <col min="8990" max="9211" width="11.42578125" style="159"/>
    <col min="9212" max="9212" width="10.5703125" style="159" customWidth="1"/>
    <col min="9213" max="9213" width="4.85546875" style="159" customWidth="1"/>
    <col min="9214" max="9214" width="32.42578125" style="159" customWidth="1"/>
    <col min="9215" max="9215" width="9.85546875" style="159" customWidth="1"/>
    <col min="9216" max="9216" width="10.140625" style="159" customWidth="1"/>
    <col min="9217" max="9217" width="12.28515625" style="159" customWidth="1"/>
    <col min="9218" max="9218" width="15.42578125" style="159" customWidth="1"/>
    <col min="9219" max="9219" width="11.85546875" style="159" customWidth="1"/>
    <col min="9220" max="9220" width="13.28515625" style="159" customWidth="1"/>
    <col min="9221" max="9221" width="15.28515625" style="159" customWidth="1"/>
    <col min="9222" max="9222" width="11.85546875" style="159" customWidth="1"/>
    <col min="9223" max="9223" width="6.140625" style="159" customWidth="1"/>
    <col min="9224" max="9224" width="11.85546875" style="159" customWidth="1"/>
    <col min="9225" max="9225" width="9.42578125" style="159" customWidth="1"/>
    <col min="9226" max="9226" width="14.7109375" style="159" customWidth="1"/>
    <col min="9227" max="9227" width="11.5703125" style="159" customWidth="1"/>
    <col min="9228" max="9228" width="0.42578125" style="159" customWidth="1"/>
    <col min="9229" max="9229" width="10.5703125" style="159" bestFit="1" customWidth="1"/>
    <col min="9230" max="9230" width="12.28515625" style="159" customWidth="1"/>
    <col min="9231" max="9231" width="12.5703125" style="159" customWidth="1"/>
    <col min="9232" max="9232" width="10.5703125" style="159" customWidth="1"/>
    <col min="9233" max="9233" width="10.140625" style="159" customWidth="1"/>
    <col min="9234" max="9234" width="8.42578125" style="159" customWidth="1"/>
    <col min="9235" max="9235" width="18.85546875" style="159" customWidth="1"/>
    <col min="9236" max="9236" width="10.28515625" style="159" customWidth="1"/>
    <col min="9237" max="9237" width="11.42578125" style="159"/>
    <col min="9238" max="9238" width="12.140625" style="159" customWidth="1"/>
    <col min="9239" max="9239" width="10.5703125" style="159" customWidth="1"/>
    <col min="9240" max="9240" width="12.42578125" style="159" customWidth="1"/>
    <col min="9241" max="9241" width="15.140625" style="159" customWidth="1"/>
    <col min="9242" max="9242" width="13.5703125" style="159" customWidth="1"/>
    <col min="9243" max="9243" width="13.140625" style="159" customWidth="1"/>
    <col min="9244" max="9244" width="15.7109375" style="159" customWidth="1"/>
    <col min="9245" max="9245" width="37.5703125" style="159" customWidth="1"/>
    <col min="9246" max="9467" width="11.42578125" style="159"/>
    <col min="9468" max="9468" width="10.5703125" style="159" customWidth="1"/>
    <col min="9469" max="9469" width="4.85546875" style="159" customWidth="1"/>
    <col min="9470" max="9470" width="32.42578125" style="159" customWidth="1"/>
    <col min="9471" max="9471" width="9.85546875" style="159" customWidth="1"/>
    <col min="9472" max="9472" width="10.140625" style="159" customWidth="1"/>
    <col min="9473" max="9473" width="12.28515625" style="159" customWidth="1"/>
    <col min="9474" max="9474" width="15.42578125" style="159" customWidth="1"/>
    <col min="9475" max="9475" width="11.85546875" style="159" customWidth="1"/>
    <col min="9476" max="9476" width="13.28515625" style="159" customWidth="1"/>
    <col min="9477" max="9477" width="15.28515625" style="159" customWidth="1"/>
    <col min="9478" max="9478" width="11.85546875" style="159" customWidth="1"/>
    <col min="9479" max="9479" width="6.140625" style="159" customWidth="1"/>
    <col min="9480" max="9480" width="11.85546875" style="159" customWidth="1"/>
    <col min="9481" max="9481" width="9.42578125" style="159" customWidth="1"/>
    <col min="9482" max="9482" width="14.7109375" style="159" customWidth="1"/>
    <col min="9483" max="9483" width="11.5703125" style="159" customWidth="1"/>
    <col min="9484" max="9484" width="0.42578125" style="159" customWidth="1"/>
    <col min="9485" max="9485" width="10.5703125" style="159" bestFit="1" customWidth="1"/>
    <col min="9486" max="9486" width="12.28515625" style="159" customWidth="1"/>
    <col min="9487" max="9487" width="12.5703125" style="159" customWidth="1"/>
    <col min="9488" max="9488" width="10.5703125" style="159" customWidth="1"/>
    <col min="9489" max="9489" width="10.140625" style="159" customWidth="1"/>
    <col min="9490" max="9490" width="8.42578125" style="159" customWidth="1"/>
    <col min="9491" max="9491" width="18.85546875" style="159" customWidth="1"/>
    <col min="9492" max="9492" width="10.28515625" style="159" customWidth="1"/>
    <col min="9493" max="9493" width="11.42578125" style="159"/>
    <col min="9494" max="9494" width="12.140625" style="159" customWidth="1"/>
    <col min="9495" max="9495" width="10.5703125" style="159" customWidth="1"/>
    <col min="9496" max="9496" width="12.42578125" style="159" customWidth="1"/>
    <col min="9497" max="9497" width="15.140625" style="159" customWidth="1"/>
    <col min="9498" max="9498" width="13.5703125" style="159" customWidth="1"/>
    <col min="9499" max="9499" width="13.140625" style="159" customWidth="1"/>
    <col min="9500" max="9500" width="15.7109375" style="159" customWidth="1"/>
    <col min="9501" max="9501" width="37.5703125" style="159" customWidth="1"/>
    <col min="9502" max="9723" width="11.42578125" style="159"/>
    <col min="9724" max="9724" width="10.5703125" style="159" customWidth="1"/>
    <col min="9725" max="9725" width="4.85546875" style="159" customWidth="1"/>
    <col min="9726" max="9726" width="32.42578125" style="159" customWidth="1"/>
    <col min="9727" max="9727" width="9.85546875" style="159" customWidth="1"/>
    <col min="9728" max="9728" width="10.140625" style="159" customWidth="1"/>
    <col min="9729" max="9729" width="12.28515625" style="159" customWidth="1"/>
    <col min="9730" max="9730" width="15.42578125" style="159" customWidth="1"/>
    <col min="9731" max="9731" width="11.85546875" style="159" customWidth="1"/>
    <col min="9732" max="9732" width="13.28515625" style="159" customWidth="1"/>
    <col min="9733" max="9733" width="15.28515625" style="159" customWidth="1"/>
    <col min="9734" max="9734" width="11.85546875" style="159" customWidth="1"/>
    <col min="9735" max="9735" width="6.140625" style="159" customWidth="1"/>
    <col min="9736" max="9736" width="11.85546875" style="159" customWidth="1"/>
    <col min="9737" max="9737" width="9.42578125" style="159" customWidth="1"/>
    <col min="9738" max="9738" width="14.7109375" style="159" customWidth="1"/>
    <col min="9739" max="9739" width="11.5703125" style="159" customWidth="1"/>
    <col min="9740" max="9740" width="0.42578125" style="159" customWidth="1"/>
    <col min="9741" max="9741" width="10.5703125" style="159" bestFit="1" customWidth="1"/>
    <col min="9742" max="9742" width="12.28515625" style="159" customWidth="1"/>
    <col min="9743" max="9743" width="12.5703125" style="159" customWidth="1"/>
    <col min="9744" max="9744" width="10.5703125" style="159" customWidth="1"/>
    <col min="9745" max="9745" width="10.140625" style="159" customWidth="1"/>
    <col min="9746" max="9746" width="8.42578125" style="159" customWidth="1"/>
    <col min="9747" max="9747" width="18.85546875" style="159" customWidth="1"/>
    <col min="9748" max="9748" width="10.28515625" style="159" customWidth="1"/>
    <col min="9749" max="9749" width="11.42578125" style="159"/>
    <col min="9750" max="9750" width="12.140625" style="159" customWidth="1"/>
    <col min="9751" max="9751" width="10.5703125" style="159" customWidth="1"/>
    <col min="9752" max="9752" width="12.42578125" style="159" customWidth="1"/>
    <col min="9753" max="9753" width="15.140625" style="159" customWidth="1"/>
    <col min="9754" max="9754" width="13.5703125" style="159" customWidth="1"/>
    <col min="9755" max="9755" width="13.140625" style="159" customWidth="1"/>
    <col min="9756" max="9756" width="15.7109375" style="159" customWidth="1"/>
    <col min="9757" max="9757" width="37.5703125" style="159" customWidth="1"/>
    <col min="9758" max="9979" width="11.42578125" style="159"/>
    <col min="9980" max="9980" width="10.5703125" style="159" customWidth="1"/>
    <col min="9981" max="9981" width="4.85546875" style="159" customWidth="1"/>
    <col min="9982" max="9982" width="32.42578125" style="159" customWidth="1"/>
    <col min="9983" max="9983" width="9.85546875" style="159" customWidth="1"/>
    <col min="9984" max="9984" width="10.140625" style="159" customWidth="1"/>
    <col min="9985" max="9985" width="12.28515625" style="159" customWidth="1"/>
    <col min="9986" max="9986" width="15.42578125" style="159" customWidth="1"/>
    <col min="9987" max="9987" width="11.85546875" style="159" customWidth="1"/>
    <col min="9988" max="9988" width="13.28515625" style="159" customWidth="1"/>
    <col min="9989" max="9989" width="15.28515625" style="159" customWidth="1"/>
    <col min="9990" max="9990" width="11.85546875" style="159" customWidth="1"/>
    <col min="9991" max="9991" width="6.140625" style="159" customWidth="1"/>
    <col min="9992" max="9992" width="11.85546875" style="159" customWidth="1"/>
    <col min="9993" max="9993" width="9.42578125" style="159" customWidth="1"/>
    <col min="9994" max="9994" width="14.7109375" style="159" customWidth="1"/>
    <col min="9995" max="9995" width="11.5703125" style="159" customWidth="1"/>
    <col min="9996" max="9996" width="0.42578125" style="159" customWidth="1"/>
    <col min="9997" max="9997" width="10.5703125" style="159" bestFit="1" customWidth="1"/>
    <col min="9998" max="9998" width="12.28515625" style="159" customWidth="1"/>
    <col min="9999" max="9999" width="12.5703125" style="159" customWidth="1"/>
    <col min="10000" max="10000" width="10.5703125" style="159" customWidth="1"/>
    <col min="10001" max="10001" width="10.140625" style="159" customWidth="1"/>
    <col min="10002" max="10002" width="8.42578125" style="159" customWidth="1"/>
    <col min="10003" max="10003" width="18.85546875" style="159" customWidth="1"/>
    <col min="10004" max="10004" width="10.28515625" style="159" customWidth="1"/>
    <col min="10005" max="10005" width="11.42578125" style="159"/>
    <col min="10006" max="10006" width="12.140625" style="159" customWidth="1"/>
    <col min="10007" max="10007" width="10.5703125" style="159" customWidth="1"/>
    <col min="10008" max="10008" width="12.42578125" style="159" customWidth="1"/>
    <col min="10009" max="10009" width="15.140625" style="159" customWidth="1"/>
    <col min="10010" max="10010" width="13.5703125" style="159" customWidth="1"/>
    <col min="10011" max="10011" width="13.140625" style="159" customWidth="1"/>
    <col min="10012" max="10012" width="15.7109375" style="159" customWidth="1"/>
    <col min="10013" max="10013" width="37.5703125" style="159" customWidth="1"/>
    <col min="10014" max="10235" width="11.42578125" style="159"/>
    <col min="10236" max="10236" width="10.5703125" style="159" customWidth="1"/>
    <col min="10237" max="10237" width="4.85546875" style="159" customWidth="1"/>
    <col min="10238" max="10238" width="32.42578125" style="159" customWidth="1"/>
    <col min="10239" max="10239" width="9.85546875" style="159" customWidth="1"/>
    <col min="10240" max="10240" width="10.140625" style="159" customWidth="1"/>
    <col min="10241" max="10241" width="12.28515625" style="159" customWidth="1"/>
    <col min="10242" max="10242" width="15.42578125" style="159" customWidth="1"/>
    <col min="10243" max="10243" width="11.85546875" style="159" customWidth="1"/>
    <col min="10244" max="10244" width="13.28515625" style="159" customWidth="1"/>
    <col min="10245" max="10245" width="15.28515625" style="159" customWidth="1"/>
    <col min="10246" max="10246" width="11.85546875" style="159" customWidth="1"/>
    <col min="10247" max="10247" width="6.140625" style="159" customWidth="1"/>
    <col min="10248" max="10248" width="11.85546875" style="159" customWidth="1"/>
    <col min="10249" max="10249" width="9.42578125" style="159" customWidth="1"/>
    <col min="10250" max="10250" width="14.7109375" style="159" customWidth="1"/>
    <col min="10251" max="10251" width="11.5703125" style="159" customWidth="1"/>
    <col min="10252" max="10252" width="0.42578125" style="159" customWidth="1"/>
    <col min="10253" max="10253" width="10.5703125" style="159" bestFit="1" customWidth="1"/>
    <col min="10254" max="10254" width="12.28515625" style="159" customWidth="1"/>
    <col min="10255" max="10255" width="12.5703125" style="159" customWidth="1"/>
    <col min="10256" max="10256" width="10.5703125" style="159" customWidth="1"/>
    <col min="10257" max="10257" width="10.140625" style="159" customWidth="1"/>
    <col min="10258" max="10258" width="8.42578125" style="159" customWidth="1"/>
    <col min="10259" max="10259" width="18.85546875" style="159" customWidth="1"/>
    <col min="10260" max="10260" width="10.28515625" style="159" customWidth="1"/>
    <col min="10261" max="10261" width="11.42578125" style="159"/>
    <col min="10262" max="10262" width="12.140625" style="159" customWidth="1"/>
    <col min="10263" max="10263" width="10.5703125" style="159" customWidth="1"/>
    <col min="10264" max="10264" width="12.42578125" style="159" customWidth="1"/>
    <col min="10265" max="10265" width="15.140625" style="159" customWidth="1"/>
    <col min="10266" max="10266" width="13.5703125" style="159" customWidth="1"/>
    <col min="10267" max="10267" width="13.140625" style="159" customWidth="1"/>
    <col min="10268" max="10268" width="15.7109375" style="159" customWidth="1"/>
    <col min="10269" max="10269" width="37.5703125" style="159" customWidth="1"/>
    <col min="10270" max="10491" width="11.42578125" style="159"/>
    <col min="10492" max="10492" width="10.5703125" style="159" customWidth="1"/>
    <col min="10493" max="10493" width="4.85546875" style="159" customWidth="1"/>
    <col min="10494" max="10494" width="32.42578125" style="159" customWidth="1"/>
    <col min="10495" max="10495" width="9.85546875" style="159" customWidth="1"/>
    <col min="10496" max="10496" width="10.140625" style="159" customWidth="1"/>
    <col min="10497" max="10497" width="12.28515625" style="159" customWidth="1"/>
    <col min="10498" max="10498" width="15.42578125" style="159" customWidth="1"/>
    <col min="10499" max="10499" width="11.85546875" style="159" customWidth="1"/>
    <col min="10500" max="10500" width="13.28515625" style="159" customWidth="1"/>
    <col min="10501" max="10501" width="15.28515625" style="159" customWidth="1"/>
    <col min="10502" max="10502" width="11.85546875" style="159" customWidth="1"/>
    <col min="10503" max="10503" width="6.140625" style="159" customWidth="1"/>
    <col min="10504" max="10504" width="11.85546875" style="159" customWidth="1"/>
    <col min="10505" max="10505" width="9.42578125" style="159" customWidth="1"/>
    <col min="10506" max="10506" width="14.7109375" style="159" customWidth="1"/>
    <col min="10507" max="10507" width="11.5703125" style="159" customWidth="1"/>
    <col min="10508" max="10508" width="0.42578125" style="159" customWidth="1"/>
    <col min="10509" max="10509" width="10.5703125" style="159" bestFit="1" customWidth="1"/>
    <col min="10510" max="10510" width="12.28515625" style="159" customWidth="1"/>
    <col min="10511" max="10511" width="12.5703125" style="159" customWidth="1"/>
    <col min="10512" max="10512" width="10.5703125" style="159" customWidth="1"/>
    <col min="10513" max="10513" width="10.140625" style="159" customWidth="1"/>
    <col min="10514" max="10514" width="8.42578125" style="159" customWidth="1"/>
    <col min="10515" max="10515" width="18.85546875" style="159" customWidth="1"/>
    <col min="10516" max="10516" width="10.28515625" style="159" customWidth="1"/>
    <col min="10517" max="10517" width="11.42578125" style="159"/>
    <col min="10518" max="10518" width="12.140625" style="159" customWidth="1"/>
    <col min="10519" max="10519" width="10.5703125" style="159" customWidth="1"/>
    <col min="10520" max="10520" width="12.42578125" style="159" customWidth="1"/>
    <col min="10521" max="10521" width="15.140625" style="159" customWidth="1"/>
    <col min="10522" max="10522" width="13.5703125" style="159" customWidth="1"/>
    <col min="10523" max="10523" width="13.140625" style="159" customWidth="1"/>
    <col min="10524" max="10524" width="15.7109375" style="159" customWidth="1"/>
    <col min="10525" max="10525" width="37.5703125" style="159" customWidth="1"/>
    <col min="10526" max="10747" width="11.42578125" style="159"/>
    <col min="10748" max="10748" width="10.5703125" style="159" customWidth="1"/>
    <col min="10749" max="10749" width="4.85546875" style="159" customWidth="1"/>
    <col min="10750" max="10750" width="32.42578125" style="159" customWidth="1"/>
    <col min="10751" max="10751" width="9.85546875" style="159" customWidth="1"/>
    <col min="10752" max="10752" width="10.140625" style="159" customWidth="1"/>
    <col min="10753" max="10753" width="12.28515625" style="159" customWidth="1"/>
    <col min="10754" max="10754" width="15.42578125" style="159" customWidth="1"/>
    <col min="10755" max="10755" width="11.85546875" style="159" customWidth="1"/>
    <col min="10756" max="10756" width="13.28515625" style="159" customWidth="1"/>
    <col min="10757" max="10757" width="15.28515625" style="159" customWidth="1"/>
    <col min="10758" max="10758" width="11.85546875" style="159" customWidth="1"/>
    <col min="10759" max="10759" width="6.140625" style="159" customWidth="1"/>
    <col min="10760" max="10760" width="11.85546875" style="159" customWidth="1"/>
    <col min="10761" max="10761" width="9.42578125" style="159" customWidth="1"/>
    <col min="10762" max="10762" width="14.7109375" style="159" customWidth="1"/>
    <col min="10763" max="10763" width="11.5703125" style="159" customWidth="1"/>
    <col min="10764" max="10764" width="0.42578125" style="159" customWidth="1"/>
    <col min="10765" max="10765" width="10.5703125" style="159" bestFit="1" customWidth="1"/>
    <col min="10766" max="10766" width="12.28515625" style="159" customWidth="1"/>
    <col min="10767" max="10767" width="12.5703125" style="159" customWidth="1"/>
    <col min="10768" max="10768" width="10.5703125" style="159" customWidth="1"/>
    <col min="10769" max="10769" width="10.140625" style="159" customWidth="1"/>
    <col min="10770" max="10770" width="8.42578125" style="159" customWidth="1"/>
    <col min="10771" max="10771" width="18.85546875" style="159" customWidth="1"/>
    <col min="10772" max="10772" width="10.28515625" style="159" customWidth="1"/>
    <col min="10773" max="10773" width="11.42578125" style="159"/>
    <col min="10774" max="10774" width="12.140625" style="159" customWidth="1"/>
    <col min="10775" max="10775" width="10.5703125" style="159" customWidth="1"/>
    <col min="10776" max="10776" width="12.42578125" style="159" customWidth="1"/>
    <col min="10777" max="10777" width="15.140625" style="159" customWidth="1"/>
    <col min="10778" max="10778" width="13.5703125" style="159" customWidth="1"/>
    <col min="10779" max="10779" width="13.140625" style="159" customWidth="1"/>
    <col min="10780" max="10780" width="15.7109375" style="159" customWidth="1"/>
    <col min="10781" max="10781" width="37.5703125" style="159" customWidth="1"/>
    <col min="10782" max="11003" width="11.42578125" style="159"/>
    <col min="11004" max="11004" width="10.5703125" style="159" customWidth="1"/>
    <col min="11005" max="11005" width="4.85546875" style="159" customWidth="1"/>
    <col min="11006" max="11006" width="32.42578125" style="159" customWidth="1"/>
    <col min="11007" max="11007" width="9.85546875" style="159" customWidth="1"/>
    <col min="11008" max="11008" width="10.140625" style="159" customWidth="1"/>
    <col min="11009" max="11009" width="12.28515625" style="159" customWidth="1"/>
    <col min="11010" max="11010" width="15.42578125" style="159" customWidth="1"/>
    <col min="11011" max="11011" width="11.85546875" style="159" customWidth="1"/>
    <col min="11012" max="11012" width="13.28515625" style="159" customWidth="1"/>
    <col min="11013" max="11013" width="15.28515625" style="159" customWidth="1"/>
    <col min="11014" max="11014" width="11.85546875" style="159" customWidth="1"/>
    <col min="11015" max="11015" width="6.140625" style="159" customWidth="1"/>
    <col min="11016" max="11016" width="11.85546875" style="159" customWidth="1"/>
    <col min="11017" max="11017" width="9.42578125" style="159" customWidth="1"/>
    <col min="11018" max="11018" width="14.7109375" style="159" customWidth="1"/>
    <col min="11019" max="11019" width="11.5703125" style="159" customWidth="1"/>
    <col min="11020" max="11020" width="0.42578125" style="159" customWidth="1"/>
    <col min="11021" max="11021" width="10.5703125" style="159" bestFit="1" customWidth="1"/>
    <col min="11022" max="11022" width="12.28515625" style="159" customWidth="1"/>
    <col min="11023" max="11023" width="12.5703125" style="159" customWidth="1"/>
    <col min="11024" max="11024" width="10.5703125" style="159" customWidth="1"/>
    <col min="11025" max="11025" width="10.140625" style="159" customWidth="1"/>
    <col min="11026" max="11026" width="8.42578125" style="159" customWidth="1"/>
    <col min="11027" max="11027" width="18.85546875" style="159" customWidth="1"/>
    <col min="11028" max="11028" width="10.28515625" style="159" customWidth="1"/>
    <col min="11029" max="11029" width="11.42578125" style="159"/>
    <col min="11030" max="11030" width="12.140625" style="159" customWidth="1"/>
    <col min="11031" max="11031" width="10.5703125" style="159" customWidth="1"/>
    <col min="11032" max="11032" width="12.42578125" style="159" customWidth="1"/>
    <col min="11033" max="11033" width="15.140625" style="159" customWidth="1"/>
    <col min="11034" max="11034" width="13.5703125" style="159" customWidth="1"/>
    <col min="11035" max="11035" width="13.140625" style="159" customWidth="1"/>
    <col min="11036" max="11036" width="15.7109375" style="159" customWidth="1"/>
    <col min="11037" max="11037" width="37.5703125" style="159" customWidth="1"/>
    <col min="11038" max="11259" width="11.42578125" style="159"/>
    <col min="11260" max="11260" width="10.5703125" style="159" customWidth="1"/>
    <col min="11261" max="11261" width="4.85546875" style="159" customWidth="1"/>
    <col min="11262" max="11262" width="32.42578125" style="159" customWidth="1"/>
    <col min="11263" max="11263" width="9.85546875" style="159" customWidth="1"/>
    <col min="11264" max="11264" width="10.140625" style="159" customWidth="1"/>
    <col min="11265" max="11265" width="12.28515625" style="159" customWidth="1"/>
    <col min="11266" max="11266" width="15.42578125" style="159" customWidth="1"/>
    <col min="11267" max="11267" width="11.85546875" style="159" customWidth="1"/>
    <col min="11268" max="11268" width="13.28515625" style="159" customWidth="1"/>
    <col min="11269" max="11269" width="15.28515625" style="159" customWidth="1"/>
    <col min="11270" max="11270" width="11.85546875" style="159" customWidth="1"/>
    <col min="11271" max="11271" width="6.140625" style="159" customWidth="1"/>
    <col min="11272" max="11272" width="11.85546875" style="159" customWidth="1"/>
    <col min="11273" max="11273" width="9.42578125" style="159" customWidth="1"/>
    <col min="11274" max="11274" width="14.7109375" style="159" customWidth="1"/>
    <col min="11275" max="11275" width="11.5703125" style="159" customWidth="1"/>
    <col min="11276" max="11276" width="0.42578125" style="159" customWidth="1"/>
    <col min="11277" max="11277" width="10.5703125" style="159" bestFit="1" customWidth="1"/>
    <col min="11278" max="11278" width="12.28515625" style="159" customWidth="1"/>
    <col min="11279" max="11279" width="12.5703125" style="159" customWidth="1"/>
    <col min="11280" max="11280" width="10.5703125" style="159" customWidth="1"/>
    <col min="11281" max="11281" width="10.140625" style="159" customWidth="1"/>
    <col min="11282" max="11282" width="8.42578125" style="159" customWidth="1"/>
    <col min="11283" max="11283" width="18.85546875" style="159" customWidth="1"/>
    <col min="11284" max="11284" width="10.28515625" style="159" customWidth="1"/>
    <col min="11285" max="11285" width="11.42578125" style="159"/>
    <col min="11286" max="11286" width="12.140625" style="159" customWidth="1"/>
    <col min="11287" max="11287" width="10.5703125" style="159" customWidth="1"/>
    <col min="11288" max="11288" width="12.42578125" style="159" customWidth="1"/>
    <col min="11289" max="11289" width="15.140625" style="159" customWidth="1"/>
    <col min="11290" max="11290" width="13.5703125" style="159" customWidth="1"/>
    <col min="11291" max="11291" width="13.140625" style="159" customWidth="1"/>
    <col min="11292" max="11292" width="15.7109375" style="159" customWidth="1"/>
    <col min="11293" max="11293" width="37.5703125" style="159" customWidth="1"/>
    <col min="11294" max="11515" width="11.42578125" style="159"/>
    <col min="11516" max="11516" width="10.5703125" style="159" customWidth="1"/>
    <col min="11517" max="11517" width="4.85546875" style="159" customWidth="1"/>
    <col min="11518" max="11518" width="32.42578125" style="159" customWidth="1"/>
    <col min="11519" max="11519" width="9.85546875" style="159" customWidth="1"/>
    <col min="11520" max="11520" width="10.140625" style="159" customWidth="1"/>
    <col min="11521" max="11521" width="12.28515625" style="159" customWidth="1"/>
    <col min="11522" max="11522" width="15.42578125" style="159" customWidth="1"/>
    <col min="11523" max="11523" width="11.85546875" style="159" customWidth="1"/>
    <col min="11524" max="11524" width="13.28515625" style="159" customWidth="1"/>
    <col min="11525" max="11525" width="15.28515625" style="159" customWidth="1"/>
    <col min="11526" max="11526" width="11.85546875" style="159" customWidth="1"/>
    <col min="11527" max="11527" width="6.140625" style="159" customWidth="1"/>
    <col min="11528" max="11528" width="11.85546875" style="159" customWidth="1"/>
    <col min="11529" max="11529" width="9.42578125" style="159" customWidth="1"/>
    <col min="11530" max="11530" width="14.7109375" style="159" customWidth="1"/>
    <col min="11531" max="11531" width="11.5703125" style="159" customWidth="1"/>
    <col min="11532" max="11532" width="0.42578125" style="159" customWidth="1"/>
    <col min="11533" max="11533" width="10.5703125" style="159" bestFit="1" customWidth="1"/>
    <col min="11534" max="11534" width="12.28515625" style="159" customWidth="1"/>
    <col min="11535" max="11535" width="12.5703125" style="159" customWidth="1"/>
    <col min="11536" max="11536" width="10.5703125" style="159" customWidth="1"/>
    <col min="11537" max="11537" width="10.140625" style="159" customWidth="1"/>
    <col min="11538" max="11538" width="8.42578125" style="159" customWidth="1"/>
    <col min="11539" max="11539" width="18.85546875" style="159" customWidth="1"/>
    <col min="11540" max="11540" width="10.28515625" style="159" customWidth="1"/>
    <col min="11541" max="11541" width="11.42578125" style="159"/>
    <col min="11542" max="11542" width="12.140625" style="159" customWidth="1"/>
    <col min="11543" max="11543" width="10.5703125" style="159" customWidth="1"/>
    <col min="11544" max="11544" width="12.42578125" style="159" customWidth="1"/>
    <col min="11545" max="11545" width="15.140625" style="159" customWidth="1"/>
    <col min="11546" max="11546" width="13.5703125" style="159" customWidth="1"/>
    <col min="11547" max="11547" width="13.140625" style="159" customWidth="1"/>
    <col min="11548" max="11548" width="15.7109375" style="159" customWidth="1"/>
    <col min="11549" max="11549" width="37.5703125" style="159" customWidth="1"/>
    <col min="11550" max="11771" width="11.42578125" style="159"/>
    <col min="11772" max="11772" width="10.5703125" style="159" customWidth="1"/>
    <col min="11773" max="11773" width="4.85546875" style="159" customWidth="1"/>
    <col min="11774" max="11774" width="32.42578125" style="159" customWidth="1"/>
    <col min="11775" max="11775" width="9.85546875" style="159" customWidth="1"/>
    <col min="11776" max="11776" width="10.140625" style="159" customWidth="1"/>
    <col min="11777" max="11777" width="12.28515625" style="159" customWidth="1"/>
    <col min="11778" max="11778" width="15.42578125" style="159" customWidth="1"/>
    <col min="11779" max="11779" width="11.85546875" style="159" customWidth="1"/>
    <col min="11780" max="11780" width="13.28515625" style="159" customWidth="1"/>
    <col min="11781" max="11781" width="15.28515625" style="159" customWidth="1"/>
    <col min="11782" max="11782" width="11.85546875" style="159" customWidth="1"/>
    <col min="11783" max="11783" width="6.140625" style="159" customWidth="1"/>
    <col min="11784" max="11784" width="11.85546875" style="159" customWidth="1"/>
    <col min="11785" max="11785" width="9.42578125" style="159" customWidth="1"/>
    <col min="11786" max="11786" width="14.7109375" style="159" customWidth="1"/>
    <col min="11787" max="11787" width="11.5703125" style="159" customWidth="1"/>
    <col min="11788" max="11788" width="0.42578125" style="159" customWidth="1"/>
    <col min="11789" max="11789" width="10.5703125" style="159" bestFit="1" customWidth="1"/>
    <col min="11790" max="11790" width="12.28515625" style="159" customWidth="1"/>
    <col min="11791" max="11791" width="12.5703125" style="159" customWidth="1"/>
    <col min="11792" max="11792" width="10.5703125" style="159" customWidth="1"/>
    <col min="11793" max="11793" width="10.140625" style="159" customWidth="1"/>
    <col min="11794" max="11794" width="8.42578125" style="159" customWidth="1"/>
    <col min="11795" max="11795" width="18.85546875" style="159" customWidth="1"/>
    <col min="11796" max="11796" width="10.28515625" style="159" customWidth="1"/>
    <col min="11797" max="11797" width="11.42578125" style="159"/>
    <col min="11798" max="11798" width="12.140625" style="159" customWidth="1"/>
    <col min="11799" max="11799" width="10.5703125" style="159" customWidth="1"/>
    <col min="11800" max="11800" width="12.42578125" style="159" customWidth="1"/>
    <col min="11801" max="11801" width="15.140625" style="159" customWidth="1"/>
    <col min="11802" max="11802" width="13.5703125" style="159" customWidth="1"/>
    <col min="11803" max="11803" width="13.140625" style="159" customWidth="1"/>
    <col min="11804" max="11804" width="15.7109375" style="159" customWidth="1"/>
    <col min="11805" max="11805" width="37.5703125" style="159" customWidth="1"/>
    <col min="11806" max="12027" width="11.42578125" style="159"/>
    <col min="12028" max="12028" width="10.5703125" style="159" customWidth="1"/>
    <col min="12029" max="12029" width="4.85546875" style="159" customWidth="1"/>
    <col min="12030" max="12030" width="32.42578125" style="159" customWidth="1"/>
    <col min="12031" max="12031" width="9.85546875" style="159" customWidth="1"/>
    <col min="12032" max="12032" width="10.140625" style="159" customWidth="1"/>
    <col min="12033" max="12033" width="12.28515625" style="159" customWidth="1"/>
    <col min="12034" max="12034" width="15.42578125" style="159" customWidth="1"/>
    <col min="12035" max="12035" width="11.85546875" style="159" customWidth="1"/>
    <col min="12036" max="12036" width="13.28515625" style="159" customWidth="1"/>
    <col min="12037" max="12037" width="15.28515625" style="159" customWidth="1"/>
    <col min="12038" max="12038" width="11.85546875" style="159" customWidth="1"/>
    <col min="12039" max="12039" width="6.140625" style="159" customWidth="1"/>
    <col min="12040" max="12040" width="11.85546875" style="159" customWidth="1"/>
    <col min="12041" max="12041" width="9.42578125" style="159" customWidth="1"/>
    <col min="12042" max="12042" width="14.7109375" style="159" customWidth="1"/>
    <col min="12043" max="12043" width="11.5703125" style="159" customWidth="1"/>
    <col min="12044" max="12044" width="0.42578125" style="159" customWidth="1"/>
    <col min="12045" max="12045" width="10.5703125" style="159" bestFit="1" customWidth="1"/>
    <col min="12046" max="12046" width="12.28515625" style="159" customWidth="1"/>
    <col min="12047" max="12047" width="12.5703125" style="159" customWidth="1"/>
    <col min="12048" max="12048" width="10.5703125" style="159" customWidth="1"/>
    <col min="12049" max="12049" width="10.140625" style="159" customWidth="1"/>
    <col min="12050" max="12050" width="8.42578125" style="159" customWidth="1"/>
    <col min="12051" max="12051" width="18.85546875" style="159" customWidth="1"/>
    <col min="12052" max="12052" width="10.28515625" style="159" customWidth="1"/>
    <col min="12053" max="12053" width="11.42578125" style="159"/>
    <col min="12054" max="12054" width="12.140625" style="159" customWidth="1"/>
    <col min="12055" max="12055" width="10.5703125" style="159" customWidth="1"/>
    <col min="12056" max="12056" width="12.42578125" style="159" customWidth="1"/>
    <col min="12057" max="12057" width="15.140625" style="159" customWidth="1"/>
    <col min="12058" max="12058" width="13.5703125" style="159" customWidth="1"/>
    <col min="12059" max="12059" width="13.140625" style="159" customWidth="1"/>
    <col min="12060" max="12060" width="15.7109375" style="159" customWidth="1"/>
    <col min="12061" max="12061" width="37.5703125" style="159" customWidth="1"/>
    <col min="12062" max="12283" width="11.42578125" style="159"/>
    <col min="12284" max="12284" width="10.5703125" style="159" customWidth="1"/>
    <col min="12285" max="12285" width="4.85546875" style="159" customWidth="1"/>
    <col min="12286" max="12286" width="32.42578125" style="159" customWidth="1"/>
    <col min="12287" max="12287" width="9.85546875" style="159" customWidth="1"/>
    <col min="12288" max="12288" width="10.140625" style="159" customWidth="1"/>
    <col min="12289" max="12289" width="12.28515625" style="159" customWidth="1"/>
    <col min="12290" max="12290" width="15.42578125" style="159" customWidth="1"/>
    <col min="12291" max="12291" width="11.85546875" style="159" customWidth="1"/>
    <col min="12292" max="12292" width="13.28515625" style="159" customWidth="1"/>
    <col min="12293" max="12293" width="15.28515625" style="159" customWidth="1"/>
    <col min="12294" max="12294" width="11.85546875" style="159" customWidth="1"/>
    <col min="12295" max="12295" width="6.140625" style="159" customWidth="1"/>
    <col min="12296" max="12296" width="11.85546875" style="159" customWidth="1"/>
    <col min="12297" max="12297" width="9.42578125" style="159" customWidth="1"/>
    <col min="12298" max="12298" width="14.7109375" style="159" customWidth="1"/>
    <col min="12299" max="12299" width="11.5703125" style="159" customWidth="1"/>
    <col min="12300" max="12300" width="0.42578125" style="159" customWidth="1"/>
    <col min="12301" max="12301" width="10.5703125" style="159" bestFit="1" customWidth="1"/>
    <col min="12302" max="12302" width="12.28515625" style="159" customWidth="1"/>
    <col min="12303" max="12303" width="12.5703125" style="159" customWidth="1"/>
    <col min="12304" max="12304" width="10.5703125" style="159" customWidth="1"/>
    <col min="12305" max="12305" width="10.140625" style="159" customWidth="1"/>
    <col min="12306" max="12306" width="8.42578125" style="159" customWidth="1"/>
    <col min="12307" max="12307" width="18.85546875" style="159" customWidth="1"/>
    <col min="12308" max="12308" width="10.28515625" style="159" customWidth="1"/>
    <col min="12309" max="12309" width="11.42578125" style="159"/>
    <col min="12310" max="12310" width="12.140625" style="159" customWidth="1"/>
    <col min="12311" max="12311" width="10.5703125" style="159" customWidth="1"/>
    <col min="12312" max="12312" width="12.42578125" style="159" customWidth="1"/>
    <col min="12313" max="12313" width="15.140625" style="159" customWidth="1"/>
    <col min="12314" max="12314" width="13.5703125" style="159" customWidth="1"/>
    <col min="12315" max="12315" width="13.140625" style="159" customWidth="1"/>
    <col min="12316" max="12316" width="15.7109375" style="159" customWidth="1"/>
    <col min="12317" max="12317" width="37.5703125" style="159" customWidth="1"/>
    <col min="12318" max="12539" width="11.42578125" style="159"/>
    <col min="12540" max="12540" width="10.5703125" style="159" customWidth="1"/>
    <col min="12541" max="12541" width="4.85546875" style="159" customWidth="1"/>
    <col min="12542" max="12542" width="32.42578125" style="159" customWidth="1"/>
    <col min="12543" max="12543" width="9.85546875" style="159" customWidth="1"/>
    <col min="12544" max="12544" width="10.140625" style="159" customWidth="1"/>
    <col min="12545" max="12545" width="12.28515625" style="159" customWidth="1"/>
    <col min="12546" max="12546" width="15.42578125" style="159" customWidth="1"/>
    <col min="12547" max="12547" width="11.85546875" style="159" customWidth="1"/>
    <col min="12548" max="12548" width="13.28515625" style="159" customWidth="1"/>
    <col min="12549" max="12549" width="15.28515625" style="159" customWidth="1"/>
    <col min="12550" max="12550" width="11.85546875" style="159" customWidth="1"/>
    <col min="12551" max="12551" width="6.140625" style="159" customWidth="1"/>
    <col min="12552" max="12552" width="11.85546875" style="159" customWidth="1"/>
    <col min="12553" max="12553" width="9.42578125" style="159" customWidth="1"/>
    <col min="12554" max="12554" width="14.7109375" style="159" customWidth="1"/>
    <col min="12555" max="12555" width="11.5703125" style="159" customWidth="1"/>
    <col min="12556" max="12556" width="0.42578125" style="159" customWidth="1"/>
    <col min="12557" max="12557" width="10.5703125" style="159" bestFit="1" customWidth="1"/>
    <col min="12558" max="12558" width="12.28515625" style="159" customWidth="1"/>
    <col min="12559" max="12559" width="12.5703125" style="159" customWidth="1"/>
    <col min="12560" max="12560" width="10.5703125" style="159" customWidth="1"/>
    <col min="12561" max="12561" width="10.140625" style="159" customWidth="1"/>
    <col min="12562" max="12562" width="8.42578125" style="159" customWidth="1"/>
    <col min="12563" max="12563" width="18.85546875" style="159" customWidth="1"/>
    <col min="12564" max="12564" width="10.28515625" style="159" customWidth="1"/>
    <col min="12565" max="12565" width="11.42578125" style="159"/>
    <col min="12566" max="12566" width="12.140625" style="159" customWidth="1"/>
    <col min="12567" max="12567" width="10.5703125" style="159" customWidth="1"/>
    <col min="12568" max="12568" width="12.42578125" style="159" customWidth="1"/>
    <col min="12569" max="12569" width="15.140625" style="159" customWidth="1"/>
    <col min="12570" max="12570" width="13.5703125" style="159" customWidth="1"/>
    <col min="12571" max="12571" width="13.140625" style="159" customWidth="1"/>
    <col min="12572" max="12572" width="15.7109375" style="159" customWidth="1"/>
    <col min="12573" max="12573" width="37.5703125" style="159" customWidth="1"/>
    <col min="12574" max="12795" width="11.42578125" style="159"/>
    <col min="12796" max="12796" width="10.5703125" style="159" customWidth="1"/>
    <col min="12797" max="12797" width="4.85546875" style="159" customWidth="1"/>
    <col min="12798" max="12798" width="32.42578125" style="159" customWidth="1"/>
    <col min="12799" max="12799" width="9.85546875" style="159" customWidth="1"/>
    <col min="12800" max="12800" width="10.140625" style="159" customWidth="1"/>
    <col min="12801" max="12801" width="12.28515625" style="159" customWidth="1"/>
    <col min="12802" max="12802" width="15.42578125" style="159" customWidth="1"/>
    <col min="12803" max="12803" width="11.85546875" style="159" customWidth="1"/>
    <col min="12804" max="12804" width="13.28515625" style="159" customWidth="1"/>
    <col min="12805" max="12805" width="15.28515625" style="159" customWidth="1"/>
    <col min="12806" max="12806" width="11.85546875" style="159" customWidth="1"/>
    <col min="12807" max="12807" width="6.140625" style="159" customWidth="1"/>
    <col min="12808" max="12808" width="11.85546875" style="159" customWidth="1"/>
    <col min="12809" max="12809" width="9.42578125" style="159" customWidth="1"/>
    <col min="12810" max="12810" width="14.7109375" style="159" customWidth="1"/>
    <col min="12811" max="12811" width="11.5703125" style="159" customWidth="1"/>
    <col min="12812" max="12812" width="0.42578125" style="159" customWidth="1"/>
    <col min="12813" max="12813" width="10.5703125" style="159" bestFit="1" customWidth="1"/>
    <col min="12814" max="12814" width="12.28515625" style="159" customWidth="1"/>
    <col min="12815" max="12815" width="12.5703125" style="159" customWidth="1"/>
    <col min="12816" max="12816" width="10.5703125" style="159" customWidth="1"/>
    <col min="12817" max="12817" width="10.140625" style="159" customWidth="1"/>
    <col min="12818" max="12818" width="8.42578125" style="159" customWidth="1"/>
    <col min="12819" max="12819" width="18.85546875" style="159" customWidth="1"/>
    <col min="12820" max="12820" width="10.28515625" style="159" customWidth="1"/>
    <col min="12821" max="12821" width="11.42578125" style="159"/>
    <col min="12822" max="12822" width="12.140625" style="159" customWidth="1"/>
    <col min="12823" max="12823" width="10.5703125" style="159" customWidth="1"/>
    <col min="12824" max="12824" width="12.42578125" style="159" customWidth="1"/>
    <col min="12825" max="12825" width="15.140625" style="159" customWidth="1"/>
    <col min="12826" max="12826" width="13.5703125" style="159" customWidth="1"/>
    <col min="12827" max="12827" width="13.140625" style="159" customWidth="1"/>
    <col min="12828" max="12828" width="15.7109375" style="159" customWidth="1"/>
    <col min="12829" max="12829" width="37.5703125" style="159" customWidth="1"/>
    <col min="12830" max="13051" width="11.42578125" style="159"/>
    <col min="13052" max="13052" width="10.5703125" style="159" customWidth="1"/>
    <col min="13053" max="13053" width="4.85546875" style="159" customWidth="1"/>
    <col min="13054" max="13054" width="32.42578125" style="159" customWidth="1"/>
    <col min="13055" max="13055" width="9.85546875" style="159" customWidth="1"/>
    <col min="13056" max="13056" width="10.140625" style="159" customWidth="1"/>
    <col min="13057" max="13057" width="12.28515625" style="159" customWidth="1"/>
    <col min="13058" max="13058" width="15.42578125" style="159" customWidth="1"/>
    <col min="13059" max="13059" width="11.85546875" style="159" customWidth="1"/>
    <col min="13060" max="13060" width="13.28515625" style="159" customWidth="1"/>
    <col min="13061" max="13061" width="15.28515625" style="159" customWidth="1"/>
    <col min="13062" max="13062" width="11.85546875" style="159" customWidth="1"/>
    <col min="13063" max="13063" width="6.140625" style="159" customWidth="1"/>
    <col min="13064" max="13064" width="11.85546875" style="159" customWidth="1"/>
    <col min="13065" max="13065" width="9.42578125" style="159" customWidth="1"/>
    <col min="13066" max="13066" width="14.7109375" style="159" customWidth="1"/>
    <col min="13067" max="13067" width="11.5703125" style="159" customWidth="1"/>
    <col min="13068" max="13068" width="0.42578125" style="159" customWidth="1"/>
    <col min="13069" max="13069" width="10.5703125" style="159" bestFit="1" customWidth="1"/>
    <col min="13070" max="13070" width="12.28515625" style="159" customWidth="1"/>
    <col min="13071" max="13071" width="12.5703125" style="159" customWidth="1"/>
    <col min="13072" max="13072" width="10.5703125" style="159" customWidth="1"/>
    <col min="13073" max="13073" width="10.140625" style="159" customWidth="1"/>
    <col min="13074" max="13074" width="8.42578125" style="159" customWidth="1"/>
    <col min="13075" max="13075" width="18.85546875" style="159" customWidth="1"/>
    <col min="13076" max="13076" width="10.28515625" style="159" customWidth="1"/>
    <col min="13077" max="13077" width="11.42578125" style="159"/>
    <col min="13078" max="13078" width="12.140625" style="159" customWidth="1"/>
    <col min="13079" max="13079" width="10.5703125" style="159" customWidth="1"/>
    <col min="13080" max="13080" width="12.42578125" style="159" customWidth="1"/>
    <col min="13081" max="13081" width="15.140625" style="159" customWidth="1"/>
    <col min="13082" max="13082" width="13.5703125" style="159" customWidth="1"/>
    <col min="13083" max="13083" width="13.140625" style="159" customWidth="1"/>
    <col min="13084" max="13084" width="15.7109375" style="159" customWidth="1"/>
    <col min="13085" max="13085" width="37.5703125" style="159" customWidth="1"/>
    <col min="13086" max="13307" width="11.42578125" style="159"/>
    <col min="13308" max="13308" width="10.5703125" style="159" customWidth="1"/>
    <col min="13309" max="13309" width="4.85546875" style="159" customWidth="1"/>
    <col min="13310" max="13310" width="32.42578125" style="159" customWidth="1"/>
    <col min="13311" max="13311" width="9.85546875" style="159" customWidth="1"/>
    <col min="13312" max="13312" width="10.140625" style="159" customWidth="1"/>
    <col min="13313" max="13313" width="12.28515625" style="159" customWidth="1"/>
    <col min="13314" max="13314" width="15.42578125" style="159" customWidth="1"/>
    <col min="13315" max="13315" width="11.85546875" style="159" customWidth="1"/>
    <col min="13316" max="13316" width="13.28515625" style="159" customWidth="1"/>
    <col min="13317" max="13317" width="15.28515625" style="159" customWidth="1"/>
    <col min="13318" max="13318" width="11.85546875" style="159" customWidth="1"/>
    <col min="13319" max="13319" width="6.140625" style="159" customWidth="1"/>
    <col min="13320" max="13320" width="11.85546875" style="159" customWidth="1"/>
    <col min="13321" max="13321" width="9.42578125" style="159" customWidth="1"/>
    <col min="13322" max="13322" width="14.7109375" style="159" customWidth="1"/>
    <col min="13323" max="13323" width="11.5703125" style="159" customWidth="1"/>
    <col min="13324" max="13324" width="0.42578125" style="159" customWidth="1"/>
    <col min="13325" max="13325" width="10.5703125" style="159" bestFit="1" customWidth="1"/>
    <col min="13326" max="13326" width="12.28515625" style="159" customWidth="1"/>
    <col min="13327" max="13327" width="12.5703125" style="159" customWidth="1"/>
    <col min="13328" max="13328" width="10.5703125" style="159" customWidth="1"/>
    <col min="13329" max="13329" width="10.140625" style="159" customWidth="1"/>
    <col min="13330" max="13330" width="8.42578125" style="159" customWidth="1"/>
    <col min="13331" max="13331" width="18.85546875" style="159" customWidth="1"/>
    <col min="13332" max="13332" width="10.28515625" style="159" customWidth="1"/>
    <col min="13333" max="13333" width="11.42578125" style="159"/>
    <col min="13334" max="13334" width="12.140625" style="159" customWidth="1"/>
    <col min="13335" max="13335" width="10.5703125" style="159" customWidth="1"/>
    <col min="13336" max="13336" width="12.42578125" style="159" customWidth="1"/>
    <col min="13337" max="13337" width="15.140625" style="159" customWidth="1"/>
    <col min="13338" max="13338" width="13.5703125" style="159" customWidth="1"/>
    <col min="13339" max="13339" width="13.140625" style="159" customWidth="1"/>
    <col min="13340" max="13340" width="15.7109375" style="159" customWidth="1"/>
    <col min="13341" max="13341" width="37.5703125" style="159" customWidth="1"/>
    <col min="13342" max="13563" width="11.42578125" style="159"/>
    <col min="13564" max="13564" width="10.5703125" style="159" customWidth="1"/>
    <col min="13565" max="13565" width="4.85546875" style="159" customWidth="1"/>
    <col min="13566" max="13566" width="32.42578125" style="159" customWidth="1"/>
    <col min="13567" max="13567" width="9.85546875" style="159" customWidth="1"/>
    <col min="13568" max="13568" width="10.140625" style="159" customWidth="1"/>
    <col min="13569" max="13569" width="12.28515625" style="159" customWidth="1"/>
    <col min="13570" max="13570" width="15.42578125" style="159" customWidth="1"/>
    <col min="13571" max="13571" width="11.85546875" style="159" customWidth="1"/>
    <col min="13572" max="13572" width="13.28515625" style="159" customWidth="1"/>
    <col min="13573" max="13573" width="15.28515625" style="159" customWidth="1"/>
    <col min="13574" max="13574" width="11.85546875" style="159" customWidth="1"/>
    <col min="13575" max="13575" width="6.140625" style="159" customWidth="1"/>
    <col min="13576" max="13576" width="11.85546875" style="159" customWidth="1"/>
    <col min="13577" max="13577" width="9.42578125" style="159" customWidth="1"/>
    <col min="13578" max="13578" width="14.7109375" style="159" customWidth="1"/>
    <col min="13579" max="13579" width="11.5703125" style="159" customWidth="1"/>
    <col min="13580" max="13580" width="0.42578125" style="159" customWidth="1"/>
    <col min="13581" max="13581" width="10.5703125" style="159" bestFit="1" customWidth="1"/>
    <col min="13582" max="13582" width="12.28515625" style="159" customWidth="1"/>
    <col min="13583" max="13583" width="12.5703125" style="159" customWidth="1"/>
    <col min="13584" max="13584" width="10.5703125" style="159" customWidth="1"/>
    <col min="13585" max="13585" width="10.140625" style="159" customWidth="1"/>
    <col min="13586" max="13586" width="8.42578125" style="159" customWidth="1"/>
    <col min="13587" max="13587" width="18.85546875" style="159" customWidth="1"/>
    <col min="13588" max="13588" width="10.28515625" style="159" customWidth="1"/>
    <col min="13589" max="13589" width="11.42578125" style="159"/>
    <col min="13590" max="13590" width="12.140625" style="159" customWidth="1"/>
    <col min="13591" max="13591" width="10.5703125" style="159" customWidth="1"/>
    <col min="13592" max="13592" width="12.42578125" style="159" customWidth="1"/>
    <col min="13593" max="13593" width="15.140625" style="159" customWidth="1"/>
    <col min="13594" max="13594" width="13.5703125" style="159" customWidth="1"/>
    <col min="13595" max="13595" width="13.140625" style="159" customWidth="1"/>
    <col min="13596" max="13596" width="15.7109375" style="159" customWidth="1"/>
    <col min="13597" max="13597" width="37.5703125" style="159" customWidth="1"/>
    <col min="13598" max="13819" width="11.42578125" style="159"/>
    <col min="13820" max="13820" width="10.5703125" style="159" customWidth="1"/>
    <col min="13821" max="13821" width="4.85546875" style="159" customWidth="1"/>
    <col min="13822" max="13822" width="32.42578125" style="159" customWidth="1"/>
    <col min="13823" max="13823" width="9.85546875" style="159" customWidth="1"/>
    <col min="13824" max="13824" width="10.140625" style="159" customWidth="1"/>
    <col min="13825" max="13825" width="12.28515625" style="159" customWidth="1"/>
    <col min="13826" max="13826" width="15.42578125" style="159" customWidth="1"/>
    <col min="13827" max="13827" width="11.85546875" style="159" customWidth="1"/>
    <col min="13828" max="13828" width="13.28515625" style="159" customWidth="1"/>
    <col min="13829" max="13829" width="15.28515625" style="159" customWidth="1"/>
    <col min="13830" max="13830" width="11.85546875" style="159" customWidth="1"/>
    <col min="13831" max="13831" width="6.140625" style="159" customWidth="1"/>
    <col min="13832" max="13832" width="11.85546875" style="159" customWidth="1"/>
    <col min="13833" max="13833" width="9.42578125" style="159" customWidth="1"/>
    <col min="13834" max="13834" width="14.7109375" style="159" customWidth="1"/>
    <col min="13835" max="13835" width="11.5703125" style="159" customWidth="1"/>
    <col min="13836" max="13836" width="0.42578125" style="159" customWidth="1"/>
    <col min="13837" max="13837" width="10.5703125" style="159" bestFit="1" customWidth="1"/>
    <col min="13838" max="13838" width="12.28515625" style="159" customWidth="1"/>
    <col min="13839" max="13839" width="12.5703125" style="159" customWidth="1"/>
    <col min="13840" max="13840" width="10.5703125" style="159" customWidth="1"/>
    <col min="13841" max="13841" width="10.140625" style="159" customWidth="1"/>
    <col min="13842" max="13842" width="8.42578125" style="159" customWidth="1"/>
    <col min="13843" max="13843" width="18.85546875" style="159" customWidth="1"/>
    <col min="13844" max="13844" width="10.28515625" style="159" customWidth="1"/>
    <col min="13845" max="13845" width="11.42578125" style="159"/>
    <col min="13846" max="13846" width="12.140625" style="159" customWidth="1"/>
    <col min="13847" max="13847" width="10.5703125" style="159" customWidth="1"/>
    <col min="13848" max="13848" width="12.42578125" style="159" customWidth="1"/>
    <col min="13849" max="13849" width="15.140625" style="159" customWidth="1"/>
    <col min="13850" max="13850" width="13.5703125" style="159" customWidth="1"/>
    <col min="13851" max="13851" width="13.140625" style="159" customWidth="1"/>
    <col min="13852" max="13852" width="15.7109375" style="159" customWidth="1"/>
    <col min="13853" max="13853" width="37.5703125" style="159" customWidth="1"/>
    <col min="13854" max="14075" width="11.42578125" style="159"/>
    <col min="14076" max="14076" width="10.5703125" style="159" customWidth="1"/>
    <col min="14077" max="14077" width="4.85546875" style="159" customWidth="1"/>
    <col min="14078" max="14078" width="32.42578125" style="159" customWidth="1"/>
    <col min="14079" max="14079" width="9.85546875" style="159" customWidth="1"/>
    <col min="14080" max="14080" width="10.140625" style="159" customWidth="1"/>
    <col min="14081" max="14081" width="12.28515625" style="159" customWidth="1"/>
    <col min="14082" max="14082" width="15.42578125" style="159" customWidth="1"/>
    <col min="14083" max="14083" width="11.85546875" style="159" customWidth="1"/>
    <col min="14084" max="14084" width="13.28515625" style="159" customWidth="1"/>
    <col min="14085" max="14085" width="15.28515625" style="159" customWidth="1"/>
    <col min="14086" max="14086" width="11.85546875" style="159" customWidth="1"/>
    <col min="14087" max="14087" width="6.140625" style="159" customWidth="1"/>
    <col min="14088" max="14088" width="11.85546875" style="159" customWidth="1"/>
    <col min="14089" max="14089" width="9.42578125" style="159" customWidth="1"/>
    <col min="14090" max="14090" width="14.7109375" style="159" customWidth="1"/>
    <col min="14091" max="14091" width="11.5703125" style="159" customWidth="1"/>
    <col min="14092" max="14092" width="0.42578125" style="159" customWidth="1"/>
    <col min="14093" max="14093" width="10.5703125" style="159" bestFit="1" customWidth="1"/>
    <col min="14094" max="14094" width="12.28515625" style="159" customWidth="1"/>
    <col min="14095" max="14095" width="12.5703125" style="159" customWidth="1"/>
    <col min="14096" max="14096" width="10.5703125" style="159" customWidth="1"/>
    <col min="14097" max="14097" width="10.140625" style="159" customWidth="1"/>
    <col min="14098" max="14098" width="8.42578125" style="159" customWidth="1"/>
    <col min="14099" max="14099" width="18.85546875" style="159" customWidth="1"/>
    <col min="14100" max="14100" width="10.28515625" style="159" customWidth="1"/>
    <col min="14101" max="14101" width="11.42578125" style="159"/>
    <col min="14102" max="14102" width="12.140625" style="159" customWidth="1"/>
    <col min="14103" max="14103" width="10.5703125" style="159" customWidth="1"/>
    <col min="14104" max="14104" width="12.42578125" style="159" customWidth="1"/>
    <col min="14105" max="14105" width="15.140625" style="159" customWidth="1"/>
    <col min="14106" max="14106" width="13.5703125" style="159" customWidth="1"/>
    <col min="14107" max="14107" width="13.140625" style="159" customWidth="1"/>
    <col min="14108" max="14108" width="15.7109375" style="159" customWidth="1"/>
    <col min="14109" max="14109" width="37.5703125" style="159" customWidth="1"/>
    <col min="14110" max="14331" width="11.42578125" style="159"/>
    <col min="14332" max="14332" width="10.5703125" style="159" customWidth="1"/>
    <col min="14333" max="14333" width="4.85546875" style="159" customWidth="1"/>
    <col min="14334" max="14334" width="32.42578125" style="159" customWidth="1"/>
    <col min="14335" max="14335" width="9.85546875" style="159" customWidth="1"/>
    <col min="14336" max="14336" width="10.140625" style="159" customWidth="1"/>
    <col min="14337" max="14337" width="12.28515625" style="159" customWidth="1"/>
    <col min="14338" max="14338" width="15.42578125" style="159" customWidth="1"/>
    <col min="14339" max="14339" width="11.85546875" style="159" customWidth="1"/>
    <col min="14340" max="14340" width="13.28515625" style="159" customWidth="1"/>
    <col min="14341" max="14341" width="15.28515625" style="159" customWidth="1"/>
    <col min="14342" max="14342" width="11.85546875" style="159" customWidth="1"/>
    <col min="14343" max="14343" width="6.140625" style="159" customWidth="1"/>
    <col min="14344" max="14344" width="11.85546875" style="159" customWidth="1"/>
    <col min="14345" max="14345" width="9.42578125" style="159" customWidth="1"/>
    <col min="14346" max="14346" width="14.7109375" style="159" customWidth="1"/>
    <col min="14347" max="14347" width="11.5703125" style="159" customWidth="1"/>
    <col min="14348" max="14348" width="0.42578125" style="159" customWidth="1"/>
    <col min="14349" max="14349" width="10.5703125" style="159" bestFit="1" customWidth="1"/>
    <col min="14350" max="14350" width="12.28515625" style="159" customWidth="1"/>
    <col min="14351" max="14351" width="12.5703125" style="159" customWidth="1"/>
    <col min="14352" max="14352" width="10.5703125" style="159" customWidth="1"/>
    <col min="14353" max="14353" width="10.140625" style="159" customWidth="1"/>
    <col min="14354" max="14354" width="8.42578125" style="159" customWidth="1"/>
    <col min="14355" max="14355" width="18.85546875" style="159" customWidth="1"/>
    <col min="14356" max="14356" width="10.28515625" style="159" customWidth="1"/>
    <col min="14357" max="14357" width="11.42578125" style="159"/>
    <col min="14358" max="14358" width="12.140625" style="159" customWidth="1"/>
    <col min="14359" max="14359" width="10.5703125" style="159" customWidth="1"/>
    <col min="14360" max="14360" width="12.42578125" style="159" customWidth="1"/>
    <col min="14361" max="14361" width="15.140625" style="159" customWidth="1"/>
    <col min="14362" max="14362" width="13.5703125" style="159" customWidth="1"/>
    <col min="14363" max="14363" width="13.140625" style="159" customWidth="1"/>
    <col min="14364" max="14364" width="15.7109375" style="159" customWidth="1"/>
    <col min="14365" max="14365" width="37.5703125" style="159" customWidth="1"/>
    <col min="14366" max="14587" width="11.42578125" style="159"/>
    <col min="14588" max="14588" width="10.5703125" style="159" customWidth="1"/>
    <col min="14589" max="14589" width="4.85546875" style="159" customWidth="1"/>
    <col min="14590" max="14590" width="32.42578125" style="159" customWidth="1"/>
    <col min="14591" max="14591" width="9.85546875" style="159" customWidth="1"/>
    <col min="14592" max="14592" width="10.140625" style="159" customWidth="1"/>
    <col min="14593" max="14593" width="12.28515625" style="159" customWidth="1"/>
    <col min="14594" max="14594" width="15.42578125" style="159" customWidth="1"/>
    <col min="14595" max="14595" width="11.85546875" style="159" customWidth="1"/>
    <col min="14596" max="14596" width="13.28515625" style="159" customWidth="1"/>
    <col min="14597" max="14597" width="15.28515625" style="159" customWidth="1"/>
    <col min="14598" max="14598" width="11.85546875" style="159" customWidth="1"/>
    <col min="14599" max="14599" width="6.140625" style="159" customWidth="1"/>
    <col min="14600" max="14600" width="11.85546875" style="159" customWidth="1"/>
    <col min="14601" max="14601" width="9.42578125" style="159" customWidth="1"/>
    <col min="14602" max="14602" width="14.7109375" style="159" customWidth="1"/>
    <col min="14603" max="14603" width="11.5703125" style="159" customWidth="1"/>
    <col min="14604" max="14604" width="0.42578125" style="159" customWidth="1"/>
    <col min="14605" max="14605" width="10.5703125" style="159" bestFit="1" customWidth="1"/>
    <col min="14606" max="14606" width="12.28515625" style="159" customWidth="1"/>
    <col min="14607" max="14607" width="12.5703125" style="159" customWidth="1"/>
    <col min="14608" max="14608" width="10.5703125" style="159" customWidth="1"/>
    <col min="14609" max="14609" width="10.140625" style="159" customWidth="1"/>
    <col min="14610" max="14610" width="8.42578125" style="159" customWidth="1"/>
    <col min="14611" max="14611" width="18.85546875" style="159" customWidth="1"/>
    <col min="14612" max="14612" width="10.28515625" style="159" customWidth="1"/>
    <col min="14613" max="14613" width="11.42578125" style="159"/>
    <col min="14614" max="14614" width="12.140625" style="159" customWidth="1"/>
    <col min="14615" max="14615" width="10.5703125" style="159" customWidth="1"/>
    <col min="14616" max="14616" width="12.42578125" style="159" customWidth="1"/>
    <col min="14617" max="14617" width="15.140625" style="159" customWidth="1"/>
    <col min="14618" max="14618" width="13.5703125" style="159" customWidth="1"/>
    <col min="14619" max="14619" width="13.140625" style="159" customWidth="1"/>
    <col min="14620" max="14620" width="15.7109375" style="159" customWidth="1"/>
    <col min="14621" max="14621" width="37.5703125" style="159" customWidth="1"/>
    <col min="14622" max="14843" width="11.42578125" style="159"/>
    <col min="14844" max="14844" width="10.5703125" style="159" customWidth="1"/>
    <col min="14845" max="14845" width="4.85546875" style="159" customWidth="1"/>
    <col min="14846" max="14846" width="32.42578125" style="159" customWidth="1"/>
    <col min="14847" max="14847" width="9.85546875" style="159" customWidth="1"/>
    <col min="14848" max="14848" width="10.140625" style="159" customWidth="1"/>
    <col min="14849" max="14849" width="12.28515625" style="159" customWidth="1"/>
    <col min="14850" max="14850" width="15.42578125" style="159" customWidth="1"/>
    <col min="14851" max="14851" width="11.85546875" style="159" customWidth="1"/>
    <col min="14852" max="14852" width="13.28515625" style="159" customWidth="1"/>
    <col min="14853" max="14853" width="15.28515625" style="159" customWidth="1"/>
    <col min="14854" max="14854" width="11.85546875" style="159" customWidth="1"/>
    <col min="14855" max="14855" width="6.140625" style="159" customWidth="1"/>
    <col min="14856" max="14856" width="11.85546875" style="159" customWidth="1"/>
    <col min="14857" max="14857" width="9.42578125" style="159" customWidth="1"/>
    <col min="14858" max="14858" width="14.7109375" style="159" customWidth="1"/>
    <col min="14859" max="14859" width="11.5703125" style="159" customWidth="1"/>
    <col min="14860" max="14860" width="0.42578125" style="159" customWidth="1"/>
    <col min="14861" max="14861" width="10.5703125" style="159" bestFit="1" customWidth="1"/>
    <col min="14862" max="14862" width="12.28515625" style="159" customWidth="1"/>
    <col min="14863" max="14863" width="12.5703125" style="159" customWidth="1"/>
    <col min="14864" max="14864" width="10.5703125" style="159" customWidth="1"/>
    <col min="14865" max="14865" width="10.140625" style="159" customWidth="1"/>
    <col min="14866" max="14866" width="8.42578125" style="159" customWidth="1"/>
    <col min="14867" max="14867" width="18.85546875" style="159" customWidth="1"/>
    <col min="14868" max="14868" width="10.28515625" style="159" customWidth="1"/>
    <col min="14869" max="14869" width="11.42578125" style="159"/>
    <col min="14870" max="14870" width="12.140625" style="159" customWidth="1"/>
    <col min="14871" max="14871" width="10.5703125" style="159" customWidth="1"/>
    <col min="14872" max="14872" width="12.42578125" style="159" customWidth="1"/>
    <col min="14873" max="14873" width="15.140625" style="159" customWidth="1"/>
    <col min="14874" max="14874" width="13.5703125" style="159" customWidth="1"/>
    <col min="14875" max="14875" width="13.140625" style="159" customWidth="1"/>
    <col min="14876" max="14876" width="15.7109375" style="159" customWidth="1"/>
    <col min="14877" max="14877" width="37.5703125" style="159" customWidth="1"/>
    <col min="14878" max="15099" width="11.42578125" style="159"/>
    <col min="15100" max="15100" width="10.5703125" style="159" customWidth="1"/>
    <col min="15101" max="15101" width="4.85546875" style="159" customWidth="1"/>
    <col min="15102" max="15102" width="32.42578125" style="159" customWidth="1"/>
    <col min="15103" max="15103" width="9.85546875" style="159" customWidth="1"/>
    <col min="15104" max="15104" width="10.140625" style="159" customWidth="1"/>
    <col min="15105" max="15105" width="12.28515625" style="159" customWidth="1"/>
    <col min="15106" max="15106" width="15.42578125" style="159" customWidth="1"/>
    <col min="15107" max="15107" width="11.85546875" style="159" customWidth="1"/>
    <col min="15108" max="15108" width="13.28515625" style="159" customWidth="1"/>
    <col min="15109" max="15109" width="15.28515625" style="159" customWidth="1"/>
    <col min="15110" max="15110" width="11.85546875" style="159" customWidth="1"/>
    <col min="15111" max="15111" width="6.140625" style="159" customWidth="1"/>
    <col min="15112" max="15112" width="11.85546875" style="159" customWidth="1"/>
    <col min="15113" max="15113" width="9.42578125" style="159" customWidth="1"/>
    <col min="15114" max="15114" width="14.7109375" style="159" customWidth="1"/>
    <col min="15115" max="15115" width="11.5703125" style="159" customWidth="1"/>
    <col min="15116" max="15116" width="0.42578125" style="159" customWidth="1"/>
    <col min="15117" max="15117" width="10.5703125" style="159" bestFit="1" customWidth="1"/>
    <col min="15118" max="15118" width="12.28515625" style="159" customWidth="1"/>
    <col min="15119" max="15119" width="12.5703125" style="159" customWidth="1"/>
    <col min="15120" max="15120" width="10.5703125" style="159" customWidth="1"/>
    <col min="15121" max="15121" width="10.140625" style="159" customWidth="1"/>
    <col min="15122" max="15122" width="8.42578125" style="159" customWidth="1"/>
    <col min="15123" max="15123" width="18.85546875" style="159" customWidth="1"/>
    <col min="15124" max="15124" width="10.28515625" style="159" customWidth="1"/>
    <col min="15125" max="15125" width="11.42578125" style="159"/>
    <col min="15126" max="15126" width="12.140625" style="159" customWidth="1"/>
    <col min="15127" max="15127" width="10.5703125" style="159" customWidth="1"/>
    <col min="15128" max="15128" width="12.42578125" style="159" customWidth="1"/>
    <col min="15129" max="15129" width="15.140625" style="159" customWidth="1"/>
    <col min="15130" max="15130" width="13.5703125" style="159" customWidth="1"/>
    <col min="15131" max="15131" width="13.140625" style="159" customWidth="1"/>
    <col min="15132" max="15132" width="15.7109375" style="159" customWidth="1"/>
    <col min="15133" max="15133" width="37.5703125" style="159" customWidth="1"/>
    <col min="15134" max="15355" width="11.42578125" style="159"/>
    <col min="15356" max="15356" width="10.5703125" style="159" customWidth="1"/>
    <col min="15357" max="15357" width="4.85546875" style="159" customWidth="1"/>
    <col min="15358" max="15358" width="32.42578125" style="159" customWidth="1"/>
    <col min="15359" max="15359" width="9.85546875" style="159" customWidth="1"/>
    <col min="15360" max="15360" width="10.140625" style="159" customWidth="1"/>
    <col min="15361" max="15361" width="12.28515625" style="159" customWidth="1"/>
    <col min="15362" max="15362" width="15.42578125" style="159" customWidth="1"/>
    <col min="15363" max="15363" width="11.85546875" style="159" customWidth="1"/>
    <col min="15364" max="15364" width="13.28515625" style="159" customWidth="1"/>
    <col min="15365" max="15365" width="15.28515625" style="159" customWidth="1"/>
    <col min="15366" max="15366" width="11.85546875" style="159" customWidth="1"/>
    <col min="15367" max="15367" width="6.140625" style="159" customWidth="1"/>
    <col min="15368" max="15368" width="11.85546875" style="159" customWidth="1"/>
    <col min="15369" max="15369" width="9.42578125" style="159" customWidth="1"/>
    <col min="15370" max="15370" width="14.7109375" style="159" customWidth="1"/>
    <col min="15371" max="15371" width="11.5703125" style="159" customWidth="1"/>
    <col min="15372" max="15372" width="0.42578125" style="159" customWidth="1"/>
    <col min="15373" max="15373" width="10.5703125" style="159" bestFit="1" customWidth="1"/>
    <col min="15374" max="15374" width="12.28515625" style="159" customWidth="1"/>
    <col min="15375" max="15375" width="12.5703125" style="159" customWidth="1"/>
    <col min="15376" max="15376" width="10.5703125" style="159" customWidth="1"/>
    <col min="15377" max="15377" width="10.140625" style="159" customWidth="1"/>
    <col min="15378" max="15378" width="8.42578125" style="159" customWidth="1"/>
    <col min="15379" max="15379" width="18.85546875" style="159" customWidth="1"/>
    <col min="15380" max="15380" width="10.28515625" style="159" customWidth="1"/>
    <col min="15381" max="15381" width="11.42578125" style="159"/>
    <col min="15382" max="15382" width="12.140625" style="159" customWidth="1"/>
    <col min="15383" max="15383" width="10.5703125" style="159" customWidth="1"/>
    <col min="15384" max="15384" width="12.42578125" style="159" customWidth="1"/>
    <col min="15385" max="15385" width="15.140625" style="159" customWidth="1"/>
    <col min="15386" max="15386" width="13.5703125" style="159" customWidth="1"/>
    <col min="15387" max="15387" width="13.140625" style="159" customWidth="1"/>
    <col min="15388" max="15388" width="15.7109375" style="159" customWidth="1"/>
    <col min="15389" max="15389" width="37.5703125" style="159" customWidth="1"/>
    <col min="15390" max="15611" width="11.42578125" style="159"/>
    <col min="15612" max="15612" width="10.5703125" style="159" customWidth="1"/>
    <col min="15613" max="15613" width="4.85546875" style="159" customWidth="1"/>
    <col min="15614" max="15614" width="32.42578125" style="159" customWidth="1"/>
    <col min="15615" max="15615" width="9.85546875" style="159" customWidth="1"/>
    <col min="15616" max="15616" width="10.140625" style="159" customWidth="1"/>
    <col min="15617" max="15617" width="12.28515625" style="159" customWidth="1"/>
    <col min="15618" max="15618" width="15.42578125" style="159" customWidth="1"/>
    <col min="15619" max="15619" width="11.85546875" style="159" customWidth="1"/>
    <col min="15620" max="15620" width="13.28515625" style="159" customWidth="1"/>
    <col min="15621" max="15621" width="15.28515625" style="159" customWidth="1"/>
    <col min="15622" max="15622" width="11.85546875" style="159" customWidth="1"/>
    <col min="15623" max="15623" width="6.140625" style="159" customWidth="1"/>
    <col min="15624" max="15624" width="11.85546875" style="159" customWidth="1"/>
    <col min="15625" max="15625" width="9.42578125" style="159" customWidth="1"/>
    <col min="15626" max="15626" width="14.7109375" style="159" customWidth="1"/>
    <col min="15627" max="15627" width="11.5703125" style="159" customWidth="1"/>
    <col min="15628" max="15628" width="0.42578125" style="159" customWidth="1"/>
    <col min="15629" max="15629" width="10.5703125" style="159" bestFit="1" customWidth="1"/>
    <col min="15630" max="15630" width="12.28515625" style="159" customWidth="1"/>
    <col min="15631" max="15631" width="12.5703125" style="159" customWidth="1"/>
    <col min="15632" max="15632" width="10.5703125" style="159" customWidth="1"/>
    <col min="15633" max="15633" width="10.140625" style="159" customWidth="1"/>
    <col min="15634" max="15634" width="8.42578125" style="159" customWidth="1"/>
    <col min="15635" max="15635" width="18.85546875" style="159" customWidth="1"/>
    <col min="15636" max="15636" width="10.28515625" style="159" customWidth="1"/>
    <col min="15637" max="15637" width="11.42578125" style="159"/>
    <col min="15638" max="15638" width="12.140625" style="159" customWidth="1"/>
    <col min="15639" max="15639" width="10.5703125" style="159" customWidth="1"/>
    <col min="15640" max="15640" width="12.42578125" style="159" customWidth="1"/>
    <col min="15641" max="15641" width="15.140625" style="159" customWidth="1"/>
    <col min="15642" max="15642" width="13.5703125" style="159" customWidth="1"/>
    <col min="15643" max="15643" width="13.140625" style="159" customWidth="1"/>
    <col min="15644" max="15644" width="15.7109375" style="159" customWidth="1"/>
    <col min="15645" max="15645" width="37.5703125" style="159" customWidth="1"/>
    <col min="15646" max="15867" width="11.42578125" style="159"/>
    <col min="15868" max="15868" width="10.5703125" style="159" customWidth="1"/>
    <col min="15869" max="15869" width="4.85546875" style="159" customWidth="1"/>
    <col min="15870" max="15870" width="32.42578125" style="159" customWidth="1"/>
    <col min="15871" max="15871" width="9.85546875" style="159" customWidth="1"/>
    <col min="15872" max="15872" width="10.140625" style="159" customWidth="1"/>
    <col min="15873" max="15873" width="12.28515625" style="159" customWidth="1"/>
    <col min="15874" max="15874" width="15.42578125" style="159" customWidth="1"/>
    <col min="15875" max="15875" width="11.85546875" style="159" customWidth="1"/>
    <col min="15876" max="15876" width="13.28515625" style="159" customWidth="1"/>
    <col min="15877" max="15877" width="15.28515625" style="159" customWidth="1"/>
    <col min="15878" max="15878" width="11.85546875" style="159" customWidth="1"/>
    <col min="15879" max="15879" width="6.140625" style="159" customWidth="1"/>
    <col min="15880" max="15880" width="11.85546875" style="159" customWidth="1"/>
    <col min="15881" max="15881" width="9.42578125" style="159" customWidth="1"/>
    <col min="15882" max="15882" width="14.7109375" style="159" customWidth="1"/>
    <col min="15883" max="15883" width="11.5703125" style="159" customWidth="1"/>
    <col min="15884" max="15884" width="0.42578125" style="159" customWidth="1"/>
    <col min="15885" max="15885" width="10.5703125" style="159" bestFit="1" customWidth="1"/>
    <col min="15886" max="15886" width="12.28515625" style="159" customWidth="1"/>
    <col min="15887" max="15887" width="12.5703125" style="159" customWidth="1"/>
    <col min="15888" max="15888" width="10.5703125" style="159" customWidth="1"/>
    <col min="15889" max="15889" width="10.140625" style="159" customWidth="1"/>
    <col min="15890" max="15890" width="8.42578125" style="159" customWidth="1"/>
    <col min="15891" max="15891" width="18.85546875" style="159" customWidth="1"/>
    <col min="15892" max="15892" width="10.28515625" style="159" customWidth="1"/>
    <col min="15893" max="15893" width="11.42578125" style="159"/>
    <col min="15894" max="15894" width="12.140625" style="159" customWidth="1"/>
    <col min="15895" max="15895" width="10.5703125" style="159" customWidth="1"/>
    <col min="15896" max="15896" width="12.42578125" style="159" customWidth="1"/>
    <col min="15897" max="15897" width="15.140625" style="159" customWidth="1"/>
    <col min="15898" max="15898" width="13.5703125" style="159" customWidth="1"/>
    <col min="15899" max="15899" width="13.140625" style="159" customWidth="1"/>
    <col min="15900" max="15900" width="15.7109375" style="159" customWidth="1"/>
    <col min="15901" max="15901" width="37.5703125" style="159" customWidth="1"/>
    <col min="15902" max="16123" width="11.42578125" style="159"/>
    <col min="16124" max="16124" width="10.5703125" style="159" customWidth="1"/>
    <col min="16125" max="16125" width="4.85546875" style="159" customWidth="1"/>
    <col min="16126" max="16126" width="32.42578125" style="159" customWidth="1"/>
    <col min="16127" max="16127" width="9.85546875" style="159" customWidth="1"/>
    <col min="16128" max="16128" width="10.140625" style="159" customWidth="1"/>
    <col min="16129" max="16129" width="12.28515625" style="159" customWidth="1"/>
    <col min="16130" max="16130" width="15.42578125" style="159" customWidth="1"/>
    <col min="16131" max="16131" width="11.85546875" style="159" customWidth="1"/>
    <col min="16132" max="16132" width="13.28515625" style="159" customWidth="1"/>
    <col min="16133" max="16133" width="15.28515625" style="159" customWidth="1"/>
    <col min="16134" max="16134" width="11.85546875" style="159" customWidth="1"/>
    <col min="16135" max="16135" width="6.140625" style="159" customWidth="1"/>
    <col min="16136" max="16136" width="11.85546875" style="159" customWidth="1"/>
    <col min="16137" max="16137" width="9.42578125" style="159" customWidth="1"/>
    <col min="16138" max="16138" width="14.7109375" style="159" customWidth="1"/>
    <col min="16139" max="16139" width="11.5703125" style="159" customWidth="1"/>
    <col min="16140" max="16140" width="0.42578125" style="159" customWidth="1"/>
    <col min="16141" max="16141" width="10.5703125" style="159" bestFit="1" customWidth="1"/>
    <col min="16142" max="16142" width="12.28515625" style="159" customWidth="1"/>
    <col min="16143" max="16143" width="12.5703125" style="159" customWidth="1"/>
    <col min="16144" max="16144" width="10.5703125" style="159" customWidth="1"/>
    <col min="16145" max="16145" width="10.140625" style="159" customWidth="1"/>
    <col min="16146" max="16146" width="8.42578125" style="159" customWidth="1"/>
    <col min="16147" max="16147" width="18.85546875" style="159" customWidth="1"/>
    <col min="16148" max="16148" width="10.28515625" style="159" customWidth="1"/>
    <col min="16149" max="16149" width="11.42578125" style="159"/>
    <col min="16150" max="16150" width="12.140625" style="159" customWidth="1"/>
    <col min="16151" max="16151" width="10.5703125" style="159" customWidth="1"/>
    <col min="16152" max="16152" width="12.42578125" style="159" customWidth="1"/>
    <col min="16153" max="16153" width="15.140625" style="159" customWidth="1"/>
    <col min="16154" max="16154" width="13.5703125" style="159" customWidth="1"/>
    <col min="16155" max="16155" width="13.140625" style="159" customWidth="1"/>
    <col min="16156" max="16156" width="15.7109375" style="159" customWidth="1"/>
    <col min="16157" max="16157" width="37.5703125" style="159" customWidth="1"/>
    <col min="16158" max="16384" width="11.42578125" style="159"/>
  </cols>
  <sheetData>
    <row r="1" spans="1:29" ht="12.75" x14ac:dyDescent="0.25">
      <c r="A1" s="155"/>
      <c r="B1" s="155"/>
      <c r="C1" s="213" t="s">
        <v>0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156"/>
      <c r="AA1" s="157"/>
      <c r="AB1" s="156"/>
      <c r="AC1" s="158"/>
    </row>
    <row r="2" spans="1:29" ht="12.75" x14ac:dyDescent="0.25">
      <c r="A2" s="155"/>
      <c r="B2" s="155"/>
      <c r="C2" s="160" t="s">
        <v>1</v>
      </c>
      <c r="D2" s="156"/>
      <c r="E2" s="214" t="s">
        <v>2</v>
      </c>
      <c r="F2" s="214"/>
      <c r="G2" s="214"/>
      <c r="H2" s="214"/>
      <c r="I2" s="214"/>
      <c r="J2" s="214"/>
      <c r="K2" s="214"/>
      <c r="L2" s="214"/>
      <c r="M2" s="214"/>
      <c r="N2" s="214"/>
      <c r="O2" s="214" t="s">
        <v>3</v>
      </c>
      <c r="P2" s="214"/>
      <c r="Q2" s="214"/>
      <c r="R2" s="214"/>
      <c r="S2" s="214"/>
      <c r="T2" s="214"/>
      <c r="U2" s="214"/>
      <c r="V2" s="214"/>
      <c r="W2" s="214"/>
      <c r="X2" s="214"/>
      <c r="Y2" s="156"/>
      <c r="Z2" s="156"/>
      <c r="AA2" s="157"/>
      <c r="AB2" s="156"/>
      <c r="AC2" s="158"/>
    </row>
    <row r="3" spans="1:29" ht="63.75" x14ac:dyDescent="0.25">
      <c r="A3" s="215" t="s">
        <v>4</v>
      </c>
      <c r="B3" s="161" t="s">
        <v>5</v>
      </c>
      <c r="C3" s="162" t="s">
        <v>6</v>
      </c>
      <c r="D3" s="162" t="s">
        <v>7</v>
      </c>
      <c r="E3" s="163" t="s">
        <v>8</v>
      </c>
      <c r="F3" s="163" t="s">
        <v>9</v>
      </c>
      <c r="G3" s="163" t="s">
        <v>10</v>
      </c>
      <c r="H3" s="163" t="s">
        <v>11</v>
      </c>
      <c r="I3" s="163" t="s">
        <v>12</v>
      </c>
      <c r="J3" s="163" t="s">
        <v>13</v>
      </c>
      <c r="K3" s="163" t="s">
        <v>14</v>
      </c>
      <c r="L3" s="163" t="s">
        <v>15</v>
      </c>
      <c r="M3" s="163" t="s">
        <v>16</v>
      </c>
      <c r="N3" s="163" t="s">
        <v>17</v>
      </c>
      <c r="O3" s="163" t="s">
        <v>18</v>
      </c>
      <c r="P3" s="163" t="s">
        <v>19</v>
      </c>
      <c r="Q3" s="163" t="s">
        <v>20</v>
      </c>
      <c r="R3" s="163" t="s">
        <v>21</v>
      </c>
      <c r="S3" s="163" t="s">
        <v>22</v>
      </c>
      <c r="T3" s="163" t="s">
        <v>23</v>
      </c>
      <c r="U3" s="163" t="s">
        <v>24</v>
      </c>
      <c r="V3" s="163" t="s">
        <v>25</v>
      </c>
      <c r="W3" s="163" t="s">
        <v>26</v>
      </c>
      <c r="X3" s="163" t="s">
        <v>27</v>
      </c>
      <c r="Y3" s="162" t="s">
        <v>28</v>
      </c>
      <c r="Z3" s="162"/>
      <c r="AA3" s="164"/>
      <c r="AB3" s="162" t="s">
        <v>29</v>
      </c>
      <c r="AC3" s="165" t="s">
        <v>30</v>
      </c>
    </row>
    <row r="4" spans="1:29" ht="16.5" x14ac:dyDescent="0.3">
      <c r="A4" s="216"/>
      <c r="B4" s="166">
        <v>1</v>
      </c>
      <c r="C4" s="167" t="s">
        <v>31</v>
      </c>
      <c r="D4" s="162" t="s">
        <v>32</v>
      </c>
      <c r="E4" s="168">
        <v>4500000</v>
      </c>
      <c r="F4" s="168">
        <v>30</v>
      </c>
      <c r="G4" s="168">
        <f t="shared" ref="G4:G8" si="0">+E4/30*F4</f>
        <v>4500000</v>
      </c>
      <c r="H4" s="168"/>
      <c r="I4" s="168"/>
      <c r="J4" s="168"/>
      <c r="K4" s="168"/>
      <c r="L4" s="168"/>
      <c r="M4" s="168"/>
      <c r="N4" s="168">
        <f>SUM(G4:L4)+M4</f>
        <v>4500000</v>
      </c>
      <c r="O4" s="168">
        <f>+G4*4%</f>
        <v>180000</v>
      </c>
      <c r="P4" s="168">
        <f>+G4*4%</f>
        <v>180000</v>
      </c>
      <c r="Q4" s="168"/>
      <c r="R4" s="168"/>
      <c r="S4" s="168">
        <f>+G4*0.01</f>
        <v>45000</v>
      </c>
      <c r="T4" s="168">
        <v>98752</v>
      </c>
      <c r="U4" s="168"/>
      <c r="V4" s="168"/>
      <c r="W4" s="168"/>
      <c r="X4" s="168">
        <f t="shared" ref="X4:X80" si="1">SUM(O4:W4)</f>
        <v>503752</v>
      </c>
      <c r="Y4" s="169">
        <f t="shared" ref="Y4:Y30" si="2">+N4-X4</f>
        <v>3996248</v>
      </c>
      <c r="Z4" s="169"/>
      <c r="AA4" s="157"/>
      <c r="AB4" s="169">
        <f t="shared" ref="AB4:AB10" si="3">Y4+Z4-AA4</f>
        <v>3996248</v>
      </c>
      <c r="AC4" s="170" t="s">
        <v>33</v>
      </c>
    </row>
    <row r="5" spans="1:29" ht="16.5" x14ac:dyDescent="0.3">
      <c r="A5" s="216"/>
      <c r="B5" s="166">
        <v>2</v>
      </c>
      <c r="C5" s="167" t="s">
        <v>34</v>
      </c>
      <c r="D5" s="162" t="s">
        <v>32</v>
      </c>
      <c r="E5" s="168">
        <v>4000000</v>
      </c>
      <c r="F5" s="168">
        <v>30</v>
      </c>
      <c r="G5" s="168">
        <f t="shared" si="0"/>
        <v>4000000.0000000005</v>
      </c>
      <c r="H5" s="168"/>
      <c r="I5" s="168"/>
      <c r="J5" s="168"/>
      <c r="K5" s="168"/>
      <c r="L5" s="168"/>
      <c r="M5" s="168"/>
      <c r="N5" s="168">
        <f t="shared" ref="N5:N68" si="4">SUM(G5:L5)+M5</f>
        <v>4000000.0000000005</v>
      </c>
      <c r="O5" s="168">
        <f t="shared" ref="O5:O47" si="5">+G5*4%</f>
        <v>160000.00000000003</v>
      </c>
      <c r="P5" s="168">
        <f t="shared" ref="P5:P47" si="6">+G5*4%</f>
        <v>160000.00000000003</v>
      </c>
      <c r="Q5" s="168"/>
      <c r="R5" s="168"/>
      <c r="S5" s="168">
        <f>+G5*0.01</f>
        <v>40000.000000000007</v>
      </c>
      <c r="T5" s="168">
        <v>31064</v>
      </c>
      <c r="U5" s="168"/>
      <c r="V5" s="168"/>
      <c r="W5" s="168"/>
      <c r="X5" s="168">
        <f t="shared" si="1"/>
        <v>391064.00000000006</v>
      </c>
      <c r="Y5" s="169">
        <f t="shared" si="2"/>
        <v>3608936.0000000005</v>
      </c>
      <c r="Z5" s="169"/>
      <c r="AA5" s="157"/>
      <c r="AB5" s="169">
        <f t="shared" si="3"/>
        <v>3608936.0000000005</v>
      </c>
      <c r="AC5" s="170" t="s">
        <v>33</v>
      </c>
    </row>
    <row r="6" spans="1:29" ht="16.5" x14ac:dyDescent="0.3">
      <c r="A6" s="216"/>
      <c r="B6" s="166">
        <v>3</v>
      </c>
      <c r="C6" s="167" t="s">
        <v>35</v>
      </c>
      <c r="D6" s="162" t="s">
        <v>32</v>
      </c>
      <c r="E6" s="168">
        <v>3500000</v>
      </c>
      <c r="F6" s="168">
        <v>30</v>
      </c>
      <c r="G6" s="168">
        <f t="shared" si="0"/>
        <v>3500000</v>
      </c>
      <c r="H6" s="168"/>
      <c r="I6" s="168"/>
      <c r="J6" s="168"/>
      <c r="K6" s="168"/>
      <c r="L6" s="168">
        <f>(500000/30)*30</f>
        <v>500000.00000000006</v>
      </c>
      <c r="M6" s="168"/>
      <c r="N6" s="168">
        <f t="shared" si="4"/>
        <v>4000000</v>
      </c>
      <c r="O6" s="168">
        <f t="shared" si="5"/>
        <v>140000</v>
      </c>
      <c r="P6" s="168">
        <f t="shared" si="6"/>
        <v>140000</v>
      </c>
      <c r="Q6" s="168"/>
      <c r="R6" s="168"/>
      <c r="S6" s="168">
        <f>+G6*0.01</f>
        <v>35000</v>
      </c>
      <c r="T6" s="168">
        <v>0</v>
      </c>
      <c r="U6" s="168"/>
      <c r="V6" s="168"/>
      <c r="W6" s="168"/>
      <c r="X6" s="168">
        <f t="shared" si="1"/>
        <v>315000</v>
      </c>
      <c r="Y6" s="169">
        <f t="shared" si="2"/>
        <v>3685000</v>
      </c>
      <c r="Z6" s="169"/>
      <c r="AA6" s="157"/>
      <c r="AB6" s="169">
        <f t="shared" si="3"/>
        <v>3685000</v>
      </c>
      <c r="AC6" s="170"/>
    </row>
    <row r="7" spans="1:29" ht="16.5" x14ac:dyDescent="0.3">
      <c r="A7" s="216"/>
      <c r="B7" s="166">
        <v>4</v>
      </c>
      <c r="C7" s="167" t="s">
        <v>36</v>
      </c>
      <c r="D7" s="162" t="s">
        <v>32</v>
      </c>
      <c r="E7" s="168">
        <v>5133000</v>
      </c>
      <c r="F7" s="168">
        <v>30</v>
      </c>
      <c r="G7" s="168">
        <f t="shared" si="0"/>
        <v>5133000</v>
      </c>
      <c r="H7" s="168"/>
      <c r="I7" s="168"/>
      <c r="J7" s="168"/>
      <c r="K7" s="168"/>
      <c r="L7" s="168"/>
      <c r="M7" s="168"/>
      <c r="N7" s="168">
        <f t="shared" si="4"/>
        <v>5133000</v>
      </c>
      <c r="O7" s="168">
        <f t="shared" si="5"/>
        <v>205320</v>
      </c>
      <c r="P7" s="168">
        <f t="shared" si="6"/>
        <v>205320</v>
      </c>
      <c r="Q7" s="168"/>
      <c r="R7" s="168"/>
      <c r="S7" s="168">
        <f>+G7*0.01</f>
        <v>51330</v>
      </c>
      <c r="T7" s="171">
        <v>111299</v>
      </c>
      <c r="U7" s="168"/>
      <c r="V7" s="168"/>
      <c r="W7" s="168"/>
      <c r="X7" s="168">
        <f t="shared" si="1"/>
        <v>573269</v>
      </c>
      <c r="Y7" s="169">
        <f>+N7-X7</f>
        <v>4559731</v>
      </c>
      <c r="Z7" s="169"/>
      <c r="AA7" s="157"/>
      <c r="AB7" s="169">
        <f t="shared" si="3"/>
        <v>4559731</v>
      </c>
      <c r="AC7" s="170" t="s">
        <v>37</v>
      </c>
    </row>
    <row r="8" spans="1:29" ht="16.5" x14ac:dyDescent="0.3">
      <c r="A8" s="216"/>
      <c r="B8" s="166">
        <v>5</v>
      </c>
      <c r="C8" s="167" t="s">
        <v>38</v>
      </c>
      <c r="D8" s="162" t="s">
        <v>32</v>
      </c>
      <c r="E8" s="168">
        <v>4472600</v>
      </c>
      <c r="F8" s="168">
        <v>30</v>
      </c>
      <c r="G8" s="168">
        <f t="shared" si="0"/>
        <v>4472600</v>
      </c>
      <c r="H8" s="168"/>
      <c r="I8" s="168"/>
      <c r="J8" s="168"/>
      <c r="K8" s="168"/>
      <c r="L8" s="168">
        <v>2012670</v>
      </c>
      <c r="M8" s="168"/>
      <c r="N8" s="168">
        <f t="shared" si="4"/>
        <v>6485270</v>
      </c>
      <c r="O8" s="168">
        <f t="shared" si="5"/>
        <v>178904</v>
      </c>
      <c r="P8" s="168">
        <f t="shared" si="6"/>
        <v>178904</v>
      </c>
      <c r="Q8" s="168"/>
      <c r="R8" s="168"/>
      <c r="S8" s="168">
        <f>+G8*0.01</f>
        <v>44726</v>
      </c>
      <c r="T8" s="171">
        <v>68437</v>
      </c>
      <c r="U8" s="168"/>
      <c r="V8" s="168"/>
      <c r="W8" s="168"/>
      <c r="X8" s="168">
        <f t="shared" si="1"/>
        <v>470971</v>
      </c>
      <c r="Y8" s="169">
        <f>+N8-X8</f>
        <v>6014299</v>
      </c>
      <c r="Z8" s="169"/>
      <c r="AA8" s="157"/>
      <c r="AB8" s="169">
        <f t="shared" si="3"/>
        <v>6014299</v>
      </c>
      <c r="AC8" s="170" t="s">
        <v>39</v>
      </c>
    </row>
    <row r="9" spans="1:29" ht="16.5" x14ac:dyDescent="0.3">
      <c r="A9" s="216"/>
      <c r="B9" s="166">
        <v>6</v>
      </c>
      <c r="C9" s="167" t="s">
        <v>40</v>
      </c>
      <c r="D9" s="162" t="s">
        <v>32</v>
      </c>
      <c r="E9" s="168">
        <v>4200000</v>
      </c>
      <c r="F9" s="168">
        <v>30</v>
      </c>
      <c r="G9" s="168">
        <f>E9/30*F9</f>
        <v>4200000</v>
      </c>
      <c r="H9" s="168"/>
      <c r="I9" s="168"/>
      <c r="J9" s="168"/>
      <c r="K9" s="168"/>
      <c r="L9" s="168"/>
      <c r="M9" s="168"/>
      <c r="N9" s="168">
        <f t="shared" si="4"/>
        <v>4200000</v>
      </c>
      <c r="O9" s="168">
        <f t="shared" si="5"/>
        <v>168000</v>
      </c>
      <c r="P9" s="168">
        <f t="shared" si="6"/>
        <v>168000</v>
      </c>
      <c r="Q9" s="168"/>
      <c r="R9" s="168"/>
      <c r="S9" s="168">
        <f>+G9*1%</f>
        <v>42000</v>
      </c>
      <c r="T9" s="171">
        <v>2545</v>
      </c>
      <c r="U9" s="168"/>
      <c r="V9" s="168"/>
      <c r="W9" s="168"/>
      <c r="X9" s="168">
        <f t="shared" si="1"/>
        <v>380545</v>
      </c>
      <c r="Y9" s="169">
        <f>N9-X9</f>
        <v>3819455</v>
      </c>
      <c r="Z9" s="169"/>
      <c r="AA9" s="157"/>
      <c r="AB9" s="169">
        <f t="shared" si="3"/>
        <v>3819455</v>
      </c>
      <c r="AC9" s="170"/>
    </row>
    <row r="10" spans="1:29" ht="16.5" x14ac:dyDescent="0.3">
      <c r="A10" s="216"/>
      <c r="B10" s="166">
        <v>7</v>
      </c>
      <c r="C10" s="167" t="s">
        <v>41</v>
      </c>
      <c r="D10" s="162" t="s">
        <v>32</v>
      </c>
      <c r="E10" s="168">
        <v>5500000</v>
      </c>
      <c r="F10" s="168">
        <v>30</v>
      </c>
      <c r="G10" s="168">
        <f>E10/30*F10</f>
        <v>5500000</v>
      </c>
      <c r="H10" s="168"/>
      <c r="I10" s="168"/>
      <c r="J10" s="168"/>
      <c r="K10" s="168"/>
      <c r="L10" s="168"/>
      <c r="M10" s="168"/>
      <c r="N10" s="168">
        <f t="shared" si="4"/>
        <v>5500000</v>
      </c>
      <c r="O10" s="168">
        <f t="shared" si="5"/>
        <v>220000</v>
      </c>
      <c r="P10" s="168">
        <f t="shared" si="6"/>
        <v>220000</v>
      </c>
      <c r="Q10" s="168"/>
      <c r="R10" s="168"/>
      <c r="S10" s="168">
        <f>+G10*1%</f>
        <v>55000</v>
      </c>
      <c r="T10" s="171">
        <v>234000</v>
      </c>
      <c r="U10" s="168"/>
      <c r="V10" s="168"/>
      <c r="W10" s="168"/>
      <c r="X10" s="168">
        <f t="shared" ref="X10" si="7">SUM(O10:W10)</f>
        <v>729000</v>
      </c>
      <c r="Y10" s="169">
        <f>N10-X10</f>
        <v>4771000</v>
      </c>
      <c r="Z10" s="169"/>
      <c r="AA10" s="157"/>
      <c r="AB10" s="169">
        <f t="shared" si="3"/>
        <v>4771000</v>
      </c>
      <c r="AC10" s="170"/>
    </row>
    <row r="11" spans="1:29" ht="16.5" x14ac:dyDescent="0.3">
      <c r="A11" s="216"/>
      <c r="B11" s="166">
        <v>8</v>
      </c>
      <c r="C11" s="167" t="s">
        <v>42</v>
      </c>
      <c r="D11" s="162" t="s">
        <v>32</v>
      </c>
      <c r="E11" s="168">
        <v>4500000</v>
      </c>
      <c r="F11" s="168">
        <v>30</v>
      </c>
      <c r="G11" s="168">
        <f>E11/30*F11</f>
        <v>4500000</v>
      </c>
      <c r="H11" s="168"/>
      <c r="I11" s="168"/>
      <c r="J11" s="168"/>
      <c r="K11" s="168"/>
      <c r="L11" s="168"/>
      <c r="M11" s="168"/>
      <c r="N11" s="168">
        <f t="shared" si="4"/>
        <v>4500000</v>
      </c>
      <c r="O11" s="168">
        <f t="shared" si="5"/>
        <v>180000</v>
      </c>
      <c r="P11" s="168">
        <f t="shared" si="6"/>
        <v>180000</v>
      </c>
      <c r="Q11" s="168"/>
      <c r="R11" s="168"/>
      <c r="S11" s="168">
        <f>G11*1%</f>
        <v>45000</v>
      </c>
      <c r="T11" s="168">
        <v>98752</v>
      </c>
      <c r="U11" s="168"/>
      <c r="V11" s="168"/>
      <c r="W11" s="168"/>
      <c r="X11" s="168">
        <f t="shared" si="1"/>
        <v>503752</v>
      </c>
      <c r="Y11" s="169">
        <f>N11-X11</f>
        <v>3996248</v>
      </c>
      <c r="Z11" s="169"/>
      <c r="AA11" s="157"/>
      <c r="AB11" s="169">
        <f>Y11+Z11-AA11</f>
        <v>3996248</v>
      </c>
      <c r="AC11" s="170" t="s">
        <v>43</v>
      </c>
    </row>
    <row r="12" spans="1:29" ht="16.5" x14ac:dyDescent="0.3">
      <c r="A12" s="216"/>
      <c r="B12" s="166">
        <v>9</v>
      </c>
      <c r="C12" s="208" t="s">
        <v>44</v>
      </c>
      <c r="D12" s="165" t="s">
        <v>32</v>
      </c>
      <c r="E12" s="168">
        <v>5000000</v>
      </c>
      <c r="F12" s="168">
        <v>30</v>
      </c>
      <c r="G12" s="168">
        <f>+E12/30*F12</f>
        <v>5000000</v>
      </c>
      <c r="H12" s="168"/>
      <c r="I12" s="168"/>
      <c r="J12" s="168"/>
      <c r="K12" s="168"/>
      <c r="L12" s="168">
        <v>136000</v>
      </c>
      <c r="M12" s="168"/>
      <c r="N12" s="168">
        <f t="shared" si="4"/>
        <v>5136000</v>
      </c>
      <c r="O12" s="168">
        <f t="shared" si="5"/>
        <v>200000</v>
      </c>
      <c r="P12" s="168">
        <f t="shared" si="6"/>
        <v>200000</v>
      </c>
      <c r="Q12" s="168"/>
      <c r="R12" s="168"/>
      <c r="S12" s="168">
        <f>+G12*0.01</f>
        <v>50000</v>
      </c>
      <c r="T12" s="168">
        <v>6248</v>
      </c>
      <c r="U12" s="168"/>
      <c r="V12" s="168"/>
      <c r="W12" s="168"/>
      <c r="X12" s="168">
        <f t="shared" si="1"/>
        <v>456248</v>
      </c>
      <c r="Y12" s="169">
        <f>+N12-X12</f>
        <v>4679752</v>
      </c>
      <c r="Z12" s="169"/>
      <c r="AA12" s="157"/>
      <c r="AB12" s="169">
        <f t="shared" ref="AB12:AB84" si="8">Y12+Z12-AA12</f>
        <v>4679752</v>
      </c>
      <c r="AC12" s="170" t="s">
        <v>45</v>
      </c>
    </row>
    <row r="13" spans="1:29" ht="16.5" x14ac:dyDescent="0.3">
      <c r="A13" s="216"/>
      <c r="B13" s="166">
        <v>10</v>
      </c>
      <c r="C13" s="208" t="s">
        <v>46</v>
      </c>
      <c r="D13" s="165" t="s">
        <v>32</v>
      </c>
      <c r="E13" s="168">
        <v>4000000</v>
      </c>
      <c r="F13" s="168">
        <v>30</v>
      </c>
      <c r="G13" s="168">
        <f>+E13/30*F13</f>
        <v>4000000.0000000005</v>
      </c>
      <c r="H13" s="168"/>
      <c r="I13" s="168"/>
      <c r="J13" s="168"/>
      <c r="K13" s="168"/>
      <c r="L13" s="168"/>
      <c r="M13" s="168"/>
      <c r="N13" s="168">
        <f t="shared" si="4"/>
        <v>4000000.0000000005</v>
      </c>
      <c r="O13" s="168">
        <f t="shared" si="5"/>
        <v>160000.00000000003</v>
      </c>
      <c r="P13" s="168">
        <f t="shared" si="6"/>
        <v>160000.00000000003</v>
      </c>
      <c r="Q13" s="168"/>
      <c r="R13" s="168"/>
      <c r="S13" s="168">
        <f>+G13*0.01</f>
        <v>40000.000000000007</v>
      </c>
      <c r="T13" s="168">
        <v>31064</v>
      </c>
      <c r="U13" s="168"/>
      <c r="V13" s="168"/>
      <c r="W13" s="168"/>
      <c r="X13" s="168">
        <f t="shared" si="1"/>
        <v>391064.00000000006</v>
      </c>
      <c r="Y13" s="169">
        <f t="shared" si="2"/>
        <v>3608936.0000000005</v>
      </c>
      <c r="Z13" s="169"/>
      <c r="AA13" s="157"/>
      <c r="AB13" s="169">
        <f t="shared" si="8"/>
        <v>3608936.0000000005</v>
      </c>
      <c r="AC13" s="170"/>
    </row>
    <row r="14" spans="1:29" ht="16.5" x14ac:dyDescent="0.3">
      <c r="A14" s="216"/>
      <c r="B14" s="166">
        <v>11</v>
      </c>
      <c r="C14" s="160" t="s">
        <v>47</v>
      </c>
      <c r="D14" s="156" t="s">
        <v>32</v>
      </c>
      <c r="E14" s="168">
        <v>3745000</v>
      </c>
      <c r="F14" s="168">
        <v>30</v>
      </c>
      <c r="G14" s="168">
        <f t="shared" ref="G14:G17" si="9">+E14/30*F14</f>
        <v>3745000</v>
      </c>
      <c r="H14" s="168"/>
      <c r="I14" s="168"/>
      <c r="J14" s="168"/>
      <c r="K14" s="168"/>
      <c r="L14" s="168">
        <v>535000</v>
      </c>
      <c r="M14" s="168"/>
      <c r="N14" s="168">
        <f t="shared" si="4"/>
        <v>4280000</v>
      </c>
      <c r="O14" s="168">
        <f t="shared" si="5"/>
        <v>149800</v>
      </c>
      <c r="P14" s="168">
        <f t="shared" si="6"/>
        <v>149800</v>
      </c>
      <c r="Q14" s="168"/>
      <c r="R14" s="168"/>
      <c r="S14" s="168">
        <f>G14*1%</f>
        <v>37450</v>
      </c>
      <c r="T14" s="168">
        <v>0</v>
      </c>
      <c r="U14" s="168"/>
      <c r="V14" s="168"/>
      <c r="W14" s="168"/>
      <c r="X14" s="168">
        <f t="shared" si="1"/>
        <v>337050</v>
      </c>
      <c r="Y14" s="169">
        <f t="shared" si="2"/>
        <v>3942950</v>
      </c>
      <c r="Z14" s="169"/>
      <c r="AA14" s="157"/>
      <c r="AB14" s="169">
        <f t="shared" si="8"/>
        <v>3942950</v>
      </c>
      <c r="AC14" s="170" t="s">
        <v>48</v>
      </c>
    </row>
    <row r="15" spans="1:29" ht="16.5" x14ac:dyDescent="0.3">
      <c r="A15" s="216"/>
      <c r="B15" s="166">
        <v>12</v>
      </c>
      <c r="C15" s="167" t="s">
        <v>49</v>
      </c>
      <c r="D15" s="162" t="s">
        <v>32</v>
      </c>
      <c r="E15" s="168">
        <v>5500000</v>
      </c>
      <c r="F15" s="168">
        <v>30</v>
      </c>
      <c r="G15" s="168">
        <f t="shared" si="9"/>
        <v>5500000</v>
      </c>
      <c r="H15" s="168"/>
      <c r="I15" s="168"/>
      <c r="J15" s="168"/>
      <c r="K15" s="168"/>
      <c r="L15" s="168"/>
      <c r="M15" s="168"/>
      <c r="N15" s="168">
        <f t="shared" si="4"/>
        <v>5500000</v>
      </c>
      <c r="O15" s="168">
        <f t="shared" si="5"/>
        <v>220000</v>
      </c>
      <c r="P15" s="168">
        <f t="shared" si="6"/>
        <v>220000</v>
      </c>
      <c r="Q15" s="168"/>
      <c r="R15" s="168"/>
      <c r="S15" s="168">
        <f>+G15*0.01</f>
        <v>55000</v>
      </c>
      <c r="T15" s="171">
        <v>150521</v>
      </c>
      <c r="U15" s="168">
        <v>400000</v>
      </c>
      <c r="V15" s="168"/>
      <c r="W15" s="168"/>
      <c r="X15" s="168">
        <f t="shared" si="1"/>
        <v>1045521</v>
      </c>
      <c r="Y15" s="169">
        <f t="shared" si="2"/>
        <v>4454479</v>
      </c>
      <c r="Z15" s="169"/>
      <c r="AA15" s="157"/>
      <c r="AB15" s="169">
        <f t="shared" si="8"/>
        <v>4454479</v>
      </c>
      <c r="AC15" s="170" t="s">
        <v>50</v>
      </c>
    </row>
    <row r="16" spans="1:29" ht="16.5" x14ac:dyDescent="0.3">
      <c r="A16" s="216"/>
      <c r="B16" s="166">
        <v>13</v>
      </c>
      <c r="C16" s="167" t="s">
        <v>51</v>
      </c>
      <c r="D16" s="162" t="s">
        <v>32</v>
      </c>
      <c r="E16" s="168">
        <v>3500000</v>
      </c>
      <c r="F16" s="168">
        <v>30</v>
      </c>
      <c r="G16" s="168">
        <f t="shared" si="9"/>
        <v>3500000</v>
      </c>
      <c r="H16" s="168"/>
      <c r="I16" s="168"/>
      <c r="J16" s="168"/>
      <c r="K16" s="168"/>
      <c r="L16" s="168"/>
      <c r="M16" s="168"/>
      <c r="N16" s="168">
        <f t="shared" si="4"/>
        <v>3500000</v>
      </c>
      <c r="O16" s="168">
        <f t="shared" si="5"/>
        <v>140000</v>
      </c>
      <c r="P16" s="168">
        <f t="shared" si="6"/>
        <v>140000</v>
      </c>
      <c r="Q16" s="168"/>
      <c r="R16" s="168"/>
      <c r="S16" s="168">
        <f>+G16*0.01</f>
        <v>35000</v>
      </c>
      <c r="T16" s="171"/>
      <c r="U16" s="168"/>
      <c r="V16" s="168"/>
      <c r="W16" s="168"/>
      <c r="X16" s="168">
        <f t="shared" si="1"/>
        <v>315000</v>
      </c>
      <c r="Y16" s="169">
        <f t="shared" si="2"/>
        <v>3185000</v>
      </c>
      <c r="Z16" s="169"/>
      <c r="AA16" s="157"/>
      <c r="AB16" s="169">
        <f t="shared" si="8"/>
        <v>3185000</v>
      </c>
      <c r="AC16" s="170"/>
    </row>
    <row r="17" spans="1:29" ht="16.5" x14ac:dyDescent="0.3">
      <c r="A17" s="216"/>
      <c r="B17" s="166">
        <v>14</v>
      </c>
      <c r="C17" s="167" t="s">
        <v>52</v>
      </c>
      <c r="D17" s="162" t="s">
        <v>32</v>
      </c>
      <c r="E17" s="168">
        <v>4500000</v>
      </c>
      <c r="F17" s="168">
        <v>30</v>
      </c>
      <c r="G17" s="168">
        <f t="shared" si="9"/>
        <v>4500000</v>
      </c>
      <c r="H17" s="168"/>
      <c r="I17" s="168"/>
      <c r="J17" s="168"/>
      <c r="K17" s="168"/>
      <c r="L17" s="168">
        <v>300000</v>
      </c>
      <c r="M17" s="168"/>
      <c r="N17" s="168">
        <f t="shared" si="4"/>
        <v>4800000</v>
      </c>
      <c r="O17" s="168">
        <f t="shared" si="5"/>
        <v>180000</v>
      </c>
      <c r="P17" s="168">
        <f t="shared" si="6"/>
        <v>180000</v>
      </c>
      <c r="Q17" s="168"/>
      <c r="R17" s="168"/>
      <c r="S17" s="168">
        <f>+G17*0.01</f>
        <v>45000</v>
      </c>
      <c r="T17" s="171">
        <v>98752</v>
      </c>
      <c r="U17" s="168"/>
      <c r="V17" s="168">
        <v>180180</v>
      </c>
      <c r="W17" s="168"/>
      <c r="X17" s="168">
        <f t="shared" si="1"/>
        <v>683932</v>
      </c>
      <c r="Y17" s="169">
        <f t="shared" si="2"/>
        <v>4116068</v>
      </c>
      <c r="Z17" s="169"/>
      <c r="AA17" s="157"/>
      <c r="AB17" s="169">
        <f t="shared" si="8"/>
        <v>4116068</v>
      </c>
      <c r="AC17" s="170" t="s">
        <v>53</v>
      </c>
    </row>
    <row r="18" spans="1:29" ht="25.5" x14ac:dyDescent="0.3">
      <c r="A18" s="216"/>
      <c r="B18" s="166">
        <v>15</v>
      </c>
      <c r="C18" s="167" t="s">
        <v>54</v>
      </c>
      <c r="D18" s="162" t="s">
        <v>32</v>
      </c>
      <c r="E18" s="168">
        <v>5000000</v>
      </c>
      <c r="F18" s="168">
        <v>30</v>
      </c>
      <c r="G18" s="168">
        <f t="shared" ref="G18:G24" si="10">E18/30*F18</f>
        <v>5000000</v>
      </c>
      <c r="H18" s="168"/>
      <c r="I18" s="168"/>
      <c r="J18" s="168"/>
      <c r="K18" s="168"/>
      <c r="L18" s="168">
        <v>900000</v>
      </c>
      <c r="M18" s="168"/>
      <c r="N18" s="168">
        <f t="shared" si="4"/>
        <v>5900000</v>
      </c>
      <c r="O18" s="168">
        <f t="shared" si="5"/>
        <v>200000</v>
      </c>
      <c r="P18" s="168">
        <f t="shared" si="6"/>
        <v>200000</v>
      </c>
      <c r="Q18" s="168"/>
      <c r="R18" s="168"/>
      <c r="S18" s="168">
        <f>+G18*0.01</f>
        <v>50000</v>
      </c>
      <c r="T18" s="171">
        <v>98752</v>
      </c>
      <c r="U18" s="168"/>
      <c r="V18" s="168"/>
      <c r="W18" s="168"/>
      <c r="X18" s="168">
        <f t="shared" si="1"/>
        <v>548752</v>
      </c>
      <c r="Y18" s="169">
        <f>N18-X18</f>
        <v>5351248</v>
      </c>
      <c r="Z18" s="169"/>
      <c r="AA18" s="157"/>
      <c r="AB18" s="169">
        <f t="shared" si="8"/>
        <v>5351248</v>
      </c>
      <c r="AC18" s="170" t="s">
        <v>55</v>
      </c>
    </row>
    <row r="19" spans="1:29" ht="16.5" x14ac:dyDescent="0.3">
      <c r="A19" s="216"/>
      <c r="B19" s="166">
        <v>16</v>
      </c>
      <c r="C19" s="167" t="s">
        <v>56</v>
      </c>
      <c r="D19" s="162" t="s">
        <v>32</v>
      </c>
      <c r="E19" s="168">
        <v>5000000</v>
      </c>
      <c r="F19" s="168">
        <v>30</v>
      </c>
      <c r="G19" s="168">
        <f t="shared" si="10"/>
        <v>5000000</v>
      </c>
      <c r="H19" s="168"/>
      <c r="I19" s="168"/>
      <c r="J19" s="168"/>
      <c r="K19" s="168"/>
      <c r="L19" s="168"/>
      <c r="M19" s="168"/>
      <c r="N19" s="168">
        <f t="shared" si="4"/>
        <v>5000000</v>
      </c>
      <c r="O19" s="168">
        <f t="shared" si="5"/>
        <v>200000</v>
      </c>
      <c r="P19" s="168">
        <f t="shared" si="6"/>
        <v>200000</v>
      </c>
      <c r="Q19" s="168"/>
      <c r="R19" s="168"/>
      <c r="S19" s="168">
        <f>+G19*0.01</f>
        <v>50000</v>
      </c>
      <c r="T19" s="171">
        <v>139833</v>
      </c>
      <c r="U19" s="168"/>
      <c r="V19" s="168"/>
      <c r="W19" s="168"/>
      <c r="X19" s="168">
        <f t="shared" si="1"/>
        <v>589833</v>
      </c>
      <c r="Y19" s="169">
        <f>N19-X19</f>
        <v>4410167</v>
      </c>
      <c r="Z19" s="169"/>
      <c r="AA19" s="157"/>
      <c r="AB19" s="169">
        <f t="shared" si="8"/>
        <v>4410167</v>
      </c>
      <c r="AC19" s="170" t="s">
        <v>57</v>
      </c>
    </row>
    <row r="20" spans="1:29" ht="16.5" x14ac:dyDescent="0.3">
      <c r="A20" s="216"/>
      <c r="B20" s="166">
        <v>17</v>
      </c>
      <c r="C20" s="167" t="s">
        <v>58</v>
      </c>
      <c r="D20" s="162" t="s">
        <v>32</v>
      </c>
      <c r="E20" s="168">
        <v>4000000</v>
      </c>
      <c r="F20" s="168">
        <v>30</v>
      </c>
      <c r="G20" s="168">
        <f t="shared" si="10"/>
        <v>4000000.0000000005</v>
      </c>
      <c r="H20" s="168"/>
      <c r="I20" s="168"/>
      <c r="J20" s="168"/>
      <c r="K20" s="168"/>
      <c r="L20" s="168"/>
      <c r="M20" s="168"/>
      <c r="N20" s="168">
        <f t="shared" si="4"/>
        <v>4000000.0000000005</v>
      </c>
      <c r="O20" s="168">
        <f t="shared" si="5"/>
        <v>160000.00000000003</v>
      </c>
      <c r="P20" s="168">
        <f t="shared" si="6"/>
        <v>160000.00000000003</v>
      </c>
      <c r="Q20" s="168"/>
      <c r="R20" s="168"/>
      <c r="S20" s="168">
        <f>+G20*1%</f>
        <v>40000.000000000007</v>
      </c>
      <c r="T20" s="171">
        <v>31064</v>
      </c>
      <c r="U20" s="168"/>
      <c r="V20" s="168"/>
      <c r="W20" s="168"/>
      <c r="X20" s="168">
        <f t="shared" si="1"/>
        <v>391064.00000000006</v>
      </c>
      <c r="Y20" s="169">
        <f>N20-X20</f>
        <v>3608936.0000000005</v>
      </c>
      <c r="Z20" s="169"/>
      <c r="AA20" s="157"/>
      <c r="AB20" s="169">
        <f t="shared" si="8"/>
        <v>3608936.0000000005</v>
      </c>
      <c r="AC20" s="170"/>
    </row>
    <row r="21" spans="1:29" ht="16.5" x14ac:dyDescent="0.3">
      <c r="A21" s="216"/>
      <c r="B21" s="166">
        <v>18</v>
      </c>
      <c r="C21" s="167" t="s">
        <v>59</v>
      </c>
      <c r="D21" s="162" t="s">
        <v>32</v>
      </c>
      <c r="E21" s="168">
        <v>4472600</v>
      </c>
      <c r="F21" s="168">
        <v>30</v>
      </c>
      <c r="G21" s="168">
        <f t="shared" si="10"/>
        <v>4472600</v>
      </c>
      <c r="H21" s="168"/>
      <c r="I21" s="168"/>
      <c r="J21" s="168"/>
      <c r="K21" s="168"/>
      <c r="L21" s="168">
        <v>1621317</v>
      </c>
      <c r="M21" s="168"/>
      <c r="N21" s="168">
        <f t="shared" si="4"/>
        <v>6093917</v>
      </c>
      <c r="O21" s="168">
        <f t="shared" si="5"/>
        <v>178904</v>
      </c>
      <c r="P21" s="168">
        <f t="shared" si="6"/>
        <v>178904</v>
      </c>
      <c r="Q21" s="168"/>
      <c r="R21" s="168"/>
      <c r="S21" s="168">
        <f>+G21*0.01</f>
        <v>44726</v>
      </c>
      <c r="T21" s="171">
        <v>11437</v>
      </c>
      <c r="U21" s="168">
        <v>800000</v>
      </c>
      <c r="V21" s="168"/>
      <c r="W21" s="168">
        <f>884747</f>
        <v>884747</v>
      </c>
      <c r="X21" s="168">
        <f>SUM(O21:W21)</f>
        <v>2098718</v>
      </c>
      <c r="Y21" s="169">
        <f t="shared" si="2"/>
        <v>3995199</v>
      </c>
      <c r="Z21" s="169"/>
      <c r="AA21" s="157"/>
      <c r="AB21" s="169">
        <f t="shared" si="8"/>
        <v>3995199</v>
      </c>
      <c r="AC21" s="170" t="s">
        <v>60</v>
      </c>
    </row>
    <row r="22" spans="1:29" ht="16.5" x14ac:dyDescent="0.3">
      <c r="A22" s="216"/>
      <c r="B22" s="166">
        <v>19</v>
      </c>
      <c r="C22" s="167" t="s">
        <v>61</v>
      </c>
      <c r="D22" s="162" t="s">
        <v>32</v>
      </c>
      <c r="E22" s="168">
        <v>4000000</v>
      </c>
      <c r="F22" s="168">
        <v>30</v>
      </c>
      <c r="G22" s="168">
        <f t="shared" si="10"/>
        <v>4000000.0000000005</v>
      </c>
      <c r="H22" s="168"/>
      <c r="I22" s="168"/>
      <c r="J22" s="168"/>
      <c r="K22" s="168"/>
      <c r="L22" s="168"/>
      <c r="M22" s="168"/>
      <c r="N22" s="168">
        <f t="shared" si="4"/>
        <v>4000000.0000000005</v>
      </c>
      <c r="O22" s="168">
        <f t="shared" si="5"/>
        <v>160000.00000000003</v>
      </c>
      <c r="P22" s="168">
        <f t="shared" si="6"/>
        <v>160000.00000000003</v>
      </c>
      <c r="Q22" s="168"/>
      <c r="R22" s="168"/>
      <c r="S22" s="168">
        <f>+G22*0.01</f>
        <v>40000.000000000007</v>
      </c>
      <c r="T22" s="171">
        <v>31000</v>
      </c>
      <c r="U22" s="168"/>
      <c r="V22" s="168"/>
      <c r="W22" s="168"/>
      <c r="X22" s="168">
        <f t="shared" si="1"/>
        <v>391000.00000000006</v>
      </c>
      <c r="Y22" s="169">
        <f t="shared" si="2"/>
        <v>3609000.0000000005</v>
      </c>
      <c r="Z22" s="169"/>
      <c r="AA22" s="157"/>
      <c r="AB22" s="169">
        <f t="shared" si="8"/>
        <v>3609000.0000000005</v>
      </c>
      <c r="AC22" s="170"/>
    </row>
    <row r="23" spans="1:29" ht="16.5" x14ac:dyDescent="0.3">
      <c r="A23" s="216"/>
      <c r="B23" s="166">
        <v>20</v>
      </c>
      <c r="C23" s="167" t="s">
        <v>62</v>
      </c>
      <c r="D23" s="162" t="s">
        <v>32</v>
      </c>
      <c r="E23" s="168">
        <v>5031675</v>
      </c>
      <c r="F23" s="168">
        <v>30</v>
      </c>
      <c r="G23" s="168">
        <f t="shared" si="10"/>
        <v>5031675</v>
      </c>
      <c r="H23" s="168"/>
      <c r="I23" s="168"/>
      <c r="J23" s="168"/>
      <c r="K23" s="168"/>
      <c r="L23" s="168"/>
      <c r="M23" s="168"/>
      <c r="N23" s="168">
        <f t="shared" si="4"/>
        <v>5031675</v>
      </c>
      <c r="O23" s="168">
        <f>+G23*4%</f>
        <v>201267</v>
      </c>
      <c r="P23" s="168">
        <f t="shared" si="6"/>
        <v>201267</v>
      </c>
      <c r="Q23" s="168"/>
      <c r="R23" s="168"/>
      <c r="S23" s="168">
        <f>+G23*0.01</f>
        <v>50316.75</v>
      </c>
      <c r="T23" s="171">
        <v>144121</v>
      </c>
      <c r="U23" s="168"/>
      <c r="V23" s="168"/>
      <c r="W23" s="168"/>
      <c r="X23" s="168">
        <f t="shared" si="1"/>
        <v>596971.75</v>
      </c>
      <c r="Y23" s="169">
        <f>N23-X23</f>
        <v>4434703.25</v>
      </c>
      <c r="Z23" s="169"/>
      <c r="AA23" s="157"/>
      <c r="AB23" s="169">
        <f t="shared" si="8"/>
        <v>4434703.25</v>
      </c>
      <c r="AC23" s="170" t="s">
        <v>63</v>
      </c>
    </row>
    <row r="24" spans="1:29" ht="16.5" x14ac:dyDescent="0.3">
      <c r="A24" s="216"/>
      <c r="B24" s="166">
        <v>21</v>
      </c>
      <c r="C24" s="172" t="s">
        <v>64</v>
      </c>
      <c r="D24" s="162" t="s">
        <v>32</v>
      </c>
      <c r="E24" s="168">
        <v>4500000</v>
      </c>
      <c r="F24" s="168">
        <v>30</v>
      </c>
      <c r="G24" s="168">
        <f t="shared" si="10"/>
        <v>4500000</v>
      </c>
      <c r="H24" s="168"/>
      <c r="I24" s="168"/>
      <c r="J24" s="168"/>
      <c r="K24" s="168"/>
      <c r="L24" s="168">
        <f>+(300000/30)*F24</f>
        <v>300000</v>
      </c>
      <c r="M24" s="168"/>
      <c r="N24" s="168">
        <f t="shared" si="4"/>
        <v>4800000</v>
      </c>
      <c r="O24" s="168">
        <f t="shared" si="5"/>
        <v>180000</v>
      </c>
      <c r="P24" s="168">
        <f t="shared" si="6"/>
        <v>180000</v>
      </c>
      <c r="Q24" s="168"/>
      <c r="R24" s="168"/>
      <c r="S24" s="168">
        <f>+G24*1%</f>
        <v>45000</v>
      </c>
      <c r="T24" s="171">
        <v>99000</v>
      </c>
      <c r="U24" s="168"/>
      <c r="V24" s="168"/>
      <c r="W24" s="168"/>
      <c r="X24" s="168">
        <f>SUM(O24:W24)</f>
        <v>504000</v>
      </c>
      <c r="Y24" s="169">
        <f>N24-X24</f>
        <v>4296000</v>
      </c>
      <c r="Z24" s="169"/>
      <c r="AA24" s="157"/>
      <c r="AB24" s="169">
        <f t="shared" si="8"/>
        <v>4296000</v>
      </c>
      <c r="AC24" s="170"/>
    </row>
    <row r="25" spans="1:29" ht="16.5" x14ac:dyDescent="0.25">
      <c r="A25" s="216"/>
      <c r="B25" s="166">
        <v>22</v>
      </c>
      <c r="C25" s="209" t="s">
        <v>65</v>
      </c>
      <c r="D25" s="165" t="s">
        <v>32</v>
      </c>
      <c r="E25" s="168">
        <v>4500000</v>
      </c>
      <c r="F25" s="168">
        <v>30</v>
      </c>
      <c r="G25" s="168">
        <f t="shared" ref="G25:G50" si="11">+E25/30*F25</f>
        <v>4500000</v>
      </c>
      <c r="H25" s="168"/>
      <c r="I25" s="168"/>
      <c r="J25" s="168"/>
      <c r="K25" s="168"/>
      <c r="L25" s="168"/>
      <c r="M25" s="168"/>
      <c r="N25" s="168">
        <f t="shared" si="4"/>
        <v>4500000</v>
      </c>
      <c r="O25" s="168">
        <f t="shared" si="5"/>
        <v>180000</v>
      </c>
      <c r="P25" s="168">
        <f t="shared" si="6"/>
        <v>180000</v>
      </c>
      <c r="Q25" s="168"/>
      <c r="R25" s="168"/>
      <c r="S25" s="168">
        <f>E25*1%</f>
        <v>45000</v>
      </c>
      <c r="T25" s="171">
        <v>72146</v>
      </c>
      <c r="U25" s="168"/>
      <c r="V25" s="168"/>
      <c r="W25" s="168"/>
      <c r="X25" s="168">
        <f t="shared" si="1"/>
        <v>477146</v>
      </c>
      <c r="Y25" s="169">
        <f>N25-X25</f>
        <v>4022854</v>
      </c>
      <c r="Z25" s="169"/>
      <c r="AA25" s="157"/>
      <c r="AB25" s="169">
        <f t="shared" si="8"/>
        <v>4022854</v>
      </c>
      <c r="AC25" s="173" t="s">
        <v>66</v>
      </c>
    </row>
    <row r="26" spans="1:29" ht="16.5" x14ac:dyDescent="0.3">
      <c r="A26" s="216"/>
      <c r="B26" s="166">
        <v>23</v>
      </c>
      <c r="C26" s="167" t="s">
        <v>67</v>
      </c>
      <c r="D26" s="162" t="s">
        <v>32</v>
      </c>
      <c r="E26" s="168">
        <v>3000000</v>
      </c>
      <c r="F26" s="168">
        <v>30</v>
      </c>
      <c r="G26" s="168">
        <f>E26/30*F26</f>
        <v>3000000</v>
      </c>
      <c r="H26" s="168"/>
      <c r="I26" s="168"/>
      <c r="J26" s="168"/>
      <c r="K26" s="168"/>
      <c r="L26" s="168"/>
      <c r="M26" s="168"/>
      <c r="N26" s="168">
        <f t="shared" si="4"/>
        <v>3000000</v>
      </c>
      <c r="O26" s="168">
        <f t="shared" si="5"/>
        <v>120000</v>
      </c>
      <c r="P26" s="168">
        <f t="shared" si="6"/>
        <v>120000</v>
      </c>
      <c r="Q26" s="168"/>
      <c r="R26" s="168"/>
      <c r="S26" s="168">
        <f>+G26*1%</f>
        <v>30000</v>
      </c>
      <c r="T26" s="171">
        <v>0</v>
      </c>
      <c r="U26" s="168"/>
      <c r="V26" s="168"/>
      <c r="W26" s="168"/>
      <c r="X26" s="168">
        <f t="shared" ref="X26" si="12">SUM(O26:W26)</f>
        <v>270000</v>
      </c>
      <c r="Y26" s="169">
        <f>N26-X26</f>
        <v>2730000</v>
      </c>
      <c r="Z26" s="169"/>
      <c r="AA26" s="157"/>
      <c r="AB26" s="169">
        <f t="shared" si="8"/>
        <v>2730000</v>
      </c>
      <c r="AC26" s="170"/>
    </row>
    <row r="27" spans="1:29" ht="16.5" x14ac:dyDescent="0.25">
      <c r="A27" s="216"/>
      <c r="B27" s="166">
        <v>24</v>
      </c>
      <c r="C27" s="209" t="s">
        <v>68</v>
      </c>
      <c r="D27" s="165" t="s">
        <v>32</v>
      </c>
      <c r="E27" s="168">
        <v>4500000</v>
      </c>
      <c r="F27" s="168">
        <v>30</v>
      </c>
      <c r="G27" s="168">
        <f t="shared" si="11"/>
        <v>4500000</v>
      </c>
      <c r="H27" s="168"/>
      <c r="I27" s="168"/>
      <c r="J27" s="168"/>
      <c r="K27" s="168"/>
      <c r="L27" s="168"/>
      <c r="M27" s="168"/>
      <c r="N27" s="168">
        <f t="shared" si="4"/>
        <v>4500000</v>
      </c>
      <c r="O27" s="168">
        <f t="shared" si="5"/>
        <v>180000</v>
      </c>
      <c r="P27" s="168">
        <f t="shared" si="6"/>
        <v>180000</v>
      </c>
      <c r="Q27" s="168"/>
      <c r="R27" s="168"/>
      <c r="S27" s="168">
        <f>+G27*1%</f>
        <v>45000</v>
      </c>
      <c r="T27" s="171">
        <v>34627</v>
      </c>
      <c r="U27" s="168"/>
      <c r="V27" s="168"/>
      <c r="W27" s="168"/>
      <c r="X27" s="168">
        <f t="shared" si="1"/>
        <v>439627</v>
      </c>
      <c r="Y27" s="169">
        <f>N27-X27</f>
        <v>4060373</v>
      </c>
      <c r="Z27" s="169"/>
      <c r="AA27" s="157"/>
      <c r="AB27" s="169">
        <f t="shared" si="8"/>
        <v>4060373</v>
      </c>
      <c r="AC27" s="173"/>
    </row>
    <row r="28" spans="1:29" ht="16.5" x14ac:dyDescent="0.3">
      <c r="A28" s="216"/>
      <c r="B28" s="166">
        <v>25</v>
      </c>
      <c r="C28" s="167" t="s">
        <v>69</v>
      </c>
      <c r="D28" s="162" t="s">
        <v>32</v>
      </c>
      <c r="E28" s="168">
        <v>5136000</v>
      </c>
      <c r="F28" s="168">
        <v>30</v>
      </c>
      <c r="G28" s="168">
        <f t="shared" si="11"/>
        <v>5136000</v>
      </c>
      <c r="H28" s="168"/>
      <c r="I28" s="168"/>
      <c r="J28" s="168"/>
      <c r="K28" s="168"/>
      <c r="L28" s="168"/>
      <c r="M28" s="168"/>
      <c r="N28" s="168">
        <f t="shared" si="4"/>
        <v>5136000</v>
      </c>
      <c r="O28" s="168">
        <f t="shared" si="5"/>
        <v>205440</v>
      </c>
      <c r="P28" s="168">
        <f t="shared" si="6"/>
        <v>205440</v>
      </c>
      <c r="Q28" s="168"/>
      <c r="R28" s="168"/>
      <c r="S28" s="168">
        <f>+G28*0.01</f>
        <v>51360</v>
      </c>
      <c r="T28" s="168">
        <v>131000</v>
      </c>
      <c r="U28" s="168"/>
      <c r="V28" s="168">
        <v>122614</v>
      </c>
      <c r="W28" s="168"/>
      <c r="X28" s="168">
        <f t="shared" si="1"/>
        <v>715854</v>
      </c>
      <c r="Y28" s="169">
        <f t="shared" si="2"/>
        <v>4420146</v>
      </c>
      <c r="Z28" s="169"/>
      <c r="AA28" s="157"/>
      <c r="AB28" s="169">
        <f t="shared" si="8"/>
        <v>4420146</v>
      </c>
      <c r="AC28" s="170" t="s">
        <v>70</v>
      </c>
    </row>
    <row r="29" spans="1:29" ht="16.5" x14ac:dyDescent="0.3">
      <c r="A29" s="216"/>
      <c r="B29" s="166">
        <v>26</v>
      </c>
      <c r="C29" s="167" t="s">
        <v>71</v>
      </c>
      <c r="D29" s="162" t="s">
        <v>32</v>
      </c>
      <c r="E29" s="168">
        <v>4500000</v>
      </c>
      <c r="F29" s="168">
        <v>30</v>
      </c>
      <c r="G29" s="168">
        <f t="shared" si="11"/>
        <v>4500000</v>
      </c>
      <c r="H29" s="168"/>
      <c r="I29" s="168"/>
      <c r="J29" s="168"/>
      <c r="K29" s="168"/>
      <c r="L29" s="168"/>
      <c r="M29" s="168"/>
      <c r="N29" s="168">
        <f t="shared" si="4"/>
        <v>4500000</v>
      </c>
      <c r="O29" s="168">
        <f t="shared" si="5"/>
        <v>180000</v>
      </c>
      <c r="P29" s="168">
        <f t="shared" si="6"/>
        <v>180000</v>
      </c>
      <c r="Q29" s="168"/>
      <c r="R29" s="168"/>
      <c r="S29" s="168">
        <f>+G29*0.01</f>
        <v>45000</v>
      </c>
      <c r="T29" s="168">
        <v>99000</v>
      </c>
      <c r="U29" s="168"/>
      <c r="V29" s="168"/>
      <c r="W29" s="168"/>
      <c r="X29" s="168">
        <f t="shared" si="1"/>
        <v>504000</v>
      </c>
      <c r="Y29" s="169">
        <f t="shared" si="2"/>
        <v>3996000</v>
      </c>
      <c r="Z29" s="169"/>
      <c r="AA29" s="157"/>
      <c r="AB29" s="169">
        <f t="shared" si="8"/>
        <v>3996000</v>
      </c>
      <c r="AC29" s="170"/>
    </row>
    <row r="30" spans="1:29" ht="15" x14ac:dyDescent="0.25">
      <c r="A30" s="216"/>
      <c r="B30" s="166">
        <v>27</v>
      </c>
      <c r="C30" s="167" t="s">
        <v>72</v>
      </c>
      <c r="D30" s="162" t="s">
        <v>32</v>
      </c>
      <c r="E30" s="168">
        <v>4023250</v>
      </c>
      <c r="F30" s="168">
        <v>30</v>
      </c>
      <c r="G30" s="168">
        <f t="shared" si="11"/>
        <v>4023250.0000000005</v>
      </c>
      <c r="H30" s="168"/>
      <c r="I30" s="168"/>
      <c r="J30" s="168"/>
      <c r="K30" s="168"/>
      <c r="L30" s="168"/>
      <c r="M30" s="168"/>
      <c r="N30" s="168">
        <f t="shared" si="4"/>
        <v>4023250.0000000005</v>
      </c>
      <c r="O30" s="168">
        <f t="shared" si="5"/>
        <v>160930.00000000003</v>
      </c>
      <c r="P30" s="168">
        <f t="shared" si="6"/>
        <v>160930.00000000003</v>
      </c>
      <c r="Q30" s="168"/>
      <c r="R30" s="168"/>
      <c r="S30" s="168">
        <f>+G30*0.01</f>
        <v>40232.500000000007</v>
      </c>
      <c r="T30" s="168">
        <v>2545</v>
      </c>
      <c r="U30" s="168"/>
      <c r="V30" s="168"/>
      <c r="W30" s="168"/>
      <c r="X30" s="168">
        <f t="shared" si="1"/>
        <v>364637.50000000006</v>
      </c>
      <c r="Y30" s="169">
        <f t="shared" si="2"/>
        <v>3658612.5000000005</v>
      </c>
      <c r="Z30" s="169"/>
      <c r="AA30" s="157"/>
      <c r="AB30" s="169">
        <f t="shared" si="8"/>
        <v>3658612.5000000005</v>
      </c>
      <c r="AC30" s="210" t="s">
        <v>73</v>
      </c>
    </row>
    <row r="31" spans="1:29" ht="16.5" x14ac:dyDescent="0.3">
      <c r="A31" s="216"/>
      <c r="B31" s="166">
        <v>28</v>
      </c>
      <c r="C31" s="167" t="s">
        <v>74</v>
      </c>
      <c r="D31" s="162" t="s">
        <v>32</v>
      </c>
      <c r="E31" s="168">
        <v>6912675</v>
      </c>
      <c r="F31" s="168">
        <v>30</v>
      </c>
      <c r="G31" s="168">
        <f t="shared" si="11"/>
        <v>6912675</v>
      </c>
      <c r="H31" s="168"/>
      <c r="I31" s="168"/>
      <c r="J31" s="168"/>
      <c r="K31" s="168"/>
      <c r="L31" s="168"/>
      <c r="M31" s="168"/>
      <c r="N31" s="168">
        <f t="shared" si="4"/>
        <v>6912675</v>
      </c>
      <c r="O31" s="168">
        <f t="shared" si="5"/>
        <v>276507</v>
      </c>
      <c r="P31" s="168">
        <f t="shared" si="6"/>
        <v>276507</v>
      </c>
      <c r="Q31" s="168"/>
      <c r="R31" s="168"/>
      <c r="S31" s="168">
        <f>+G31*0.01</f>
        <v>69126.75</v>
      </c>
      <c r="T31" s="171">
        <v>143706</v>
      </c>
      <c r="U31" s="168">
        <v>400000</v>
      </c>
      <c r="V31" s="168"/>
      <c r="W31" s="168"/>
      <c r="X31" s="168">
        <f t="shared" si="1"/>
        <v>1165846.75</v>
      </c>
      <c r="Y31" s="169">
        <f>+N31-X31</f>
        <v>5746828.25</v>
      </c>
      <c r="Z31" s="169"/>
      <c r="AA31" s="157"/>
      <c r="AB31" s="169">
        <f t="shared" si="8"/>
        <v>5746828.25</v>
      </c>
      <c r="AC31" s="170" t="s">
        <v>75</v>
      </c>
    </row>
    <row r="32" spans="1:29" ht="16.5" x14ac:dyDescent="0.3">
      <c r="A32" s="216"/>
      <c r="B32" s="166">
        <v>29</v>
      </c>
      <c r="C32" s="167" t="s">
        <v>76</v>
      </c>
      <c r="D32" s="162" t="s">
        <v>32</v>
      </c>
      <c r="E32" s="168">
        <v>4000000</v>
      </c>
      <c r="F32" s="168">
        <v>30</v>
      </c>
      <c r="G32" s="168">
        <f t="shared" si="11"/>
        <v>4000000.0000000005</v>
      </c>
      <c r="H32" s="168"/>
      <c r="I32" s="168"/>
      <c r="J32" s="168"/>
      <c r="K32" s="168"/>
      <c r="L32" s="168">
        <v>500000</v>
      </c>
      <c r="M32" s="168"/>
      <c r="N32" s="168">
        <f t="shared" si="4"/>
        <v>4500000</v>
      </c>
      <c r="O32" s="168">
        <f t="shared" si="5"/>
        <v>160000.00000000003</v>
      </c>
      <c r="P32" s="168">
        <f t="shared" si="6"/>
        <v>160000.00000000003</v>
      </c>
      <c r="Q32" s="168"/>
      <c r="R32" s="168"/>
      <c r="S32" s="168">
        <f>+G32*0.01</f>
        <v>40000.000000000007</v>
      </c>
      <c r="T32" s="168">
        <v>4458</v>
      </c>
      <c r="U32" s="168"/>
      <c r="V32" s="168">
        <v>1030000</v>
      </c>
      <c r="W32" s="168">
        <v>551399</v>
      </c>
      <c r="X32" s="168">
        <f t="shared" si="1"/>
        <v>1945857</v>
      </c>
      <c r="Y32" s="169">
        <f>+N32-X32</f>
        <v>2554143</v>
      </c>
      <c r="Z32" s="169"/>
      <c r="AA32" s="157"/>
      <c r="AB32" s="169">
        <f t="shared" si="8"/>
        <v>2554143</v>
      </c>
      <c r="AC32" s="170" t="s">
        <v>77</v>
      </c>
    </row>
    <row r="33" spans="1:29" ht="13.5" x14ac:dyDescent="0.25">
      <c r="A33" s="216"/>
      <c r="B33" s="166">
        <v>30</v>
      </c>
      <c r="C33" s="167" t="s">
        <v>78</v>
      </c>
      <c r="D33" s="162" t="s">
        <v>32</v>
      </c>
      <c r="E33" s="168">
        <v>4000000</v>
      </c>
      <c r="F33" s="168">
        <v>30</v>
      </c>
      <c r="G33" s="168">
        <f t="shared" si="11"/>
        <v>4000000.0000000005</v>
      </c>
      <c r="H33" s="168"/>
      <c r="I33" s="168"/>
      <c r="J33" s="168"/>
      <c r="K33" s="168"/>
      <c r="L33" s="168"/>
      <c r="M33" s="168"/>
      <c r="N33" s="168">
        <f t="shared" si="4"/>
        <v>4000000.0000000005</v>
      </c>
      <c r="O33" s="168">
        <f t="shared" si="5"/>
        <v>160000.00000000003</v>
      </c>
      <c r="P33" s="168">
        <f t="shared" si="6"/>
        <v>160000.00000000003</v>
      </c>
      <c r="Q33" s="168"/>
      <c r="R33" s="168"/>
      <c r="S33" s="168">
        <f>+G33*1%</f>
        <v>40000.000000000007</v>
      </c>
      <c r="T33" s="168">
        <v>0</v>
      </c>
      <c r="U33" s="168"/>
      <c r="V33" s="168"/>
      <c r="W33" s="168"/>
      <c r="X33" s="168">
        <f t="shared" si="1"/>
        <v>360000.00000000006</v>
      </c>
      <c r="Y33" s="169">
        <f>+N33-X33</f>
        <v>3640000.0000000005</v>
      </c>
      <c r="Z33" s="169"/>
      <c r="AA33" s="157"/>
      <c r="AB33" s="169">
        <f t="shared" si="8"/>
        <v>3640000.0000000005</v>
      </c>
      <c r="AC33" s="174" t="s">
        <v>79</v>
      </c>
    </row>
    <row r="34" spans="1:29" ht="16.5" x14ac:dyDescent="0.3">
      <c r="A34" s="216"/>
      <c r="B34" s="166">
        <v>31</v>
      </c>
      <c r="C34" s="160" t="s">
        <v>80</v>
      </c>
      <c r="D34" s="156" t="s">
        <v>32</v>
      </c>
      <c r="E34" s="168">
        <v>4500000</v>
      </c>
      <c r="F34" s="168">
        <v>30</v>
      </c>
      <c r="G34" s="168">
        <f t="shared" si="11"/>
        <v>4500000</v>
      </c>
      <c r="H34" s="168"/>
      <c r="I34" s="168"/>
      <c r="J34" s="168"/>
      <c r="K34" s="168"/>
      <c r="L34" s="168"/>
      <c r="M34" s="168"/>
      <c r="N34" s="168">
        <f t="shared" si="4"/>
        <v>4500000</v>
      </c>
      <c r="O34" s="168">
        <f t="shared" si="5"/>
        <v>180000</v>
      </c>
      <c r="P34" s="168">
        <f t="shared" si="6"/>
        <v>180000</v>
      </c>
      <c r="Q34" s="168"/>
      <c r="R34" s="168"/>
      <c r="S34" s="168">
        <f>+G34*1%</f>
        <v>45000</v>
      </c>
      <c r="T34" s="168">
        <v>34627</v>
      </c>
      <c r="U34" s="168"/>
      <c r="V34" s="168"/>
      <c r="W34" s="168"/>
      <c r="X34" s="168">
        <f t="shared" si="1"/>
        <v>439627</v>
      </c>
      <c r="Y34" s="169">
        <f>N34-X34</f>
        <v>4060373</v>
      </c>
      <c r="Z34" s="169"/>
      <c r="AA34" s="157"/>
      <c r="AB34" s="169">
        <f t="shared" si="8"/>
        <v>4060373</v>
      </c>
      <c r="AC34" s="170" t="s">
        <v>81</v>
      </c>
    </row>
    <row r="35" spans="1:29" ht="16.5" x14ac:dyDescent="0.3">
      <c r="A35" s="216"/>
      <c r="B35" s="166">
        <v>32</v>
      </c>
      <c r="C35" s="175" t="s">
        <v>82</v>
      </c>
      <c r="D35" s="176" t="s">
        <v>32</v>
      </c>
      <c r="E35" s="168">
        <v>5350000</v>
      </c>
      <c r="F35" s="168">
        <v>30</v>
      </c>
      <c r="G35" s="168">
        <f t="shared" si="11"/>
        <v>5350000</v>
      </c>
      <c r="H35" s="168"/>
      <c r="I35" s="168"/>
      <c r="J35" s="168"/>
      <c r="K35" s="168"/>
      <c r="L35" s="168">
        <v>428000</v>
      </c>
      <c r="M35" s="168"/>
      <c r="N35" s="168">
        <f t="shared" si="4"/>
        <v>5778000</v>
      </c>
      <c r="O35" s="168">
        <f t="shared" si="5"/>
        <v>214000</v>
      </c>
      <c r="P35" s="168">
        <f t="shared" si="6"/>
        <v>214000</v>
      </c>
      <c r="Q35" s="168"/>
      <c r="R35" s="168"/>
      <c r="S35" s="168">
        <f>G35*1%</f>
        <v>53500</v>
      </c>
      <c r="T35" s="168">
        <v>187215</v>
      </c>
      <c r="U35" s="168"/>
      <c r="V35" s="168"/>
      <c r="W35" s="168"/>
      <c r="X35" s="168">
        <f t="shared" si="1"/>
        <v>668715</v>
      </c>
      <c r="Y35" s="169">
        <f>N35-X35</f>
        <v>5109285</v>
      </c>
      <c r="Z35" s="169"/>
      <c r="AA35" s="157"/>
      <c r="AB35" s="169">
        <f t="shared" si="8"/>
        <v>5109285</v>
      </c>
      <c r="AC35" s="170" t="s">
        <v>83</v>
      </c>
    </row>
    <row r="36" spans="1:29" ht="16.5" x14ac:dyDescent="0.3">
      <c r="A36" s="216"/>
      <c r="B36" s="166">
        <v>33</v>
      </c>
      <c r="C36" s="175" t="s">
        <v>84</v>
      </c>
      <c r="D36" s="176" t="s">
        <v>32</v>
      </c>
      <c r="E36" s="168">
        <v>4500000</v>
      </c>
      <c r="F36" s="168">
        <v>30</v>
      </c>
      <c r="G36" s="168">
        <f t="shared" si="11"/>
        <v>4500000</v>
      </c>
      <c r="H36" s="168"/>
      <c r="I36" s="168"/>
      <c r="J36" s="168"/>
      <c r="K36" s="168"/>
      <c r="L36" s="168"/>
      <c r="M36" s="168"/>
      <c r="N36" s="168">
        <f t="shared" si="4"/>
        <v>4500000</v>
      </c>
      <c r="O36" s="168">
        <f t="shared" si="5"/>
        <v>180000</v>
      </c>
      <c r="P36" s="168">
        <f t="shared" si="6"/>
        <v>180000</v>
      </c>
      <c r="Q36" s="168"/>
      <c r="R36" s="168"/>
      <c r="S36" s="168">
        <f>G36*1%</f>
        <v>45000</v>
      </c>
      <c r="T36" s="168">
        <v>99000</v>
      </c>
      <c r="U36" s="168"/>
      <c r="V36" s="168"/>
      <c r="W36" s="168"/>
      <c r="X36" s="168">
        <f t="shared" si="1"/>
        <v>504000</v>
      </c>
      <c r="Y36" s="169">
        <f>N36-X36</f>
        <v>3996000</v>
      </c>
      <c r="Z36" s="169"/>
      <c r="AA36" s="157"/>
      <c r="AB36" s="169">
        <f t="shared" si="8"/>
        <v>3996000</v>
      </c>
      <c r="AC36" s="170"/>
    </row>
    <row r="37" spans="1:29" ht="25.5" x14ac:dyDescent="0.3">
      <c r="A37" s="216"/>
      <c r="B37" s="166">
        <v>34</v>
      </c>
      <c r="C37" s="167" t="s">
        <v>85</v>
      </c>
      <c r="D37" s="162" t="s">
        <v>32</v>
      </c>
      <c r="E37" s="168">
        <v>5500000</v>
      </c>
      <c r="F37" s="168">
        <v>30</v>
      </c>
      <c r="G37" s="168">
        <f>+E37/30*F37</f>
        <v>5500000</v>
      </c>
      <c r="H37" s="168"/>
      <c r="I37" s="168"/>
      <c r="J37" s="168"/>
      <c r="K37" s="168"/>
      <c r="L37" s="168"/>
      <c r="M37" s="168"/>
      <c r="N37" s="168">
        <f t="shared" si="4"/>
        <v>5500000</v>
      </c>
      <c r="O37" s="168">
        <f t="shared" si="5"/>
        <v>220000</v>
      </c>
      <c r="P37" s="168">
        <f t="shared" si="6"/>
        <v>220000</v>
      </c>
      <c r="Q37" s="168"/>
      <c r="R37" s="168"/>
      <c r="S37" s="168">
        <f>+G37*0.01</f>
        <v>55000</v>
      </c>
      <c r="T37" s="168">
        <v>129146</v>
      </c>
      <c r="U37" s="168"/>
      <c r="V37" s="168"/>
      <c r="W37" s="168"/>
      <c r="X37" s="168">
        <f t="shared" si="1"/>
        <v>624146</v>
      </c>
      <c r="Y37" s="169">
        <f t="shared" ref="Y37:Y43" si="13">+N37-X37</f>
        <v>4875854</v>
      </c>
      <c r="Z37" s="169"/>
      <c r="AA37" s="157"/>
      <c r="AB37" s="169">
        <f t="shared" si="8"/>
        <v>4875854</v>
      </c>
      <c r="AC37" s="170" t="s">
        <v>86</v>
      </c>
    </row>
    <row r="38" spans="1:29" ht="26.25" customHeight="1" x14ac:dyDescent="0.25">
      <c r="A38" s="216"/>
      <c r="B38" s="166">
        <v>35</v>
      </c>
      <c r="C38" s="167" t="s">
        <v>87</v>
      </c>
      <c r="D38" s="162" t="s">
        <v>32</v>
      </c>
      <c r="E38" s="168">
        <v>4500000</v>
      </c>
      <c r="F38" s="168">
        <v>30</v>
      </c>
      <c r="G38" s="168">
        <f t="shared" ref="G38:G40" si="14">+E38/30*F38</f>
        <v>4500000</v>
      </c>
      <c r="H38" s="168"/>
      <c r="I38" s="168"/>
      <c r="J38" s="168"/>
      <c r="K38" s="168"/>
      <c r="L38" s="168"/>
      <c r="M38" s="168"/>
      <c r="N38" s="168">
        <f t="shared" si="4"/>
        <v>4500000</v>
      </c>
      <c r="O38" s="168">
        <f t="shared" si="5"/>
        <v>180000</v>
      </c>
      <c r="P38" s="168">
        <f t="shared" si="6"/>
        <v>180000</v>
      </c>
      <c r="Q38" s="168"/>
      <c r="R38" s="168"/>
      <c r="S38" s="168">
        <f>+G38*0.01</f>
        <v>45000</v>
      </c>
      <c r="T38" s="168">
        <v>99000</v>
      </c>
      <c r="U38" s="168"/>
      <c r="V38" s="168"/>
      <c r="W38" s="168"/>
      <c r="X38" s="168">
        <f t="shared" si="1"/>
        <v>504000</v>
      </c>
      <c r="Y38" s="169">
        <f t="shared" si="13"/>
        <v>3996000</v>
      </c>
      <c r="Z38" s="169"/>
      <c r="AA38" s="157"/>
      <c r="AB38" s="169">
        <f t="shared" si="8"/>
        <v>3996000</v>
      </c>
      <c r="AC38" s="174" t="s">
        <v>79</v>
      </c>
    </row>
    <row r="39" spans="1:29" ht="13.5" x14ac:dyDescent="0.25">
      <c r="A39" s="216"/>
      <c r="B39" s="166">
        <v>36</v>
      </c>
      <c r="C39" s="167" t="s">
        <v>88</v>
      </c>
      <c r="D39" s="162" t="s">
        <v>32</v>
      </c>
      <c r="E39" s="168">
        <v>3700000</v>
      </c>
      <c r="F39" s="168">
        <v>17</v>
      </c>
      <c r="G39" s="168">
        <f t="shared" si="14"/>
        <v>2096666.6666666665</v>
      </c>
      <c r="H39" s="168"/>
      <c r="I39" s="168"/>
      <c r="J39" s="168"/>
      <c r="K39" s="168"/>
      <c r="L39" s="168"/>
      <c r="M39" s="168"/>
      <c r="N39" s="168">
        <f t="shared" si="4"/>
        <v>2096666.6666666665</v>
      </c>
      <c r="O39" s="168">
        <f t="shared" si="5"/>
        <v>83866.666666666657</v>
      </c>
      <c r="P39" s="168">
        <f t="shared" si="6"/>
        <v>83866.666666666657</v>
      </c>
      <c r="Q39" s="168"/>
      <c r="R39" s="168"/>
      <c r="S39" s="168"/>
      <c r="T39" s="168"/>
      <c r="U39" s="168"/>
      <c r="V39" s="168"/>
      <c r="W39" s="168"/>
      <c r="X39" s="168">
        <f t="shared" ref="X39" si="15">SUM(O39:W39)</f>
        <v>167733.33333333331</v>
      </c>
      <c r="Y39" s="169">
        <f t="shared" si="13"/>
        <v>1928933.3333333333</v>
      </c>
      <c r="Z39" s="169"/>
      <c r="AA39" s="157"/>
      <c r="AB39" s="169">
        <f t="shared" si="8"/>
        <v>1928933.3333333333</v>
      </c>
      <c r="AC39" s="174" t="s">
        <v>79</v>
      </c>
    </row>
    <row r="40" spans="1:29" ht="25.5" x14ac:dyDescent="0.25">
      <c r="A40" s="216"/>
      <c r="B40" s="166">
        <v>37</v>
      </c>
      <c r="C40" s="167" t="s">
        <v>89</v>
      </c>
      <c r="D40" s="162" t="s">
        <v>32</v>
      </c>
      <c r="E40" s="168">
        <v>2500000</v>
      </c>
      <c r="F40" s="168">
        <v>30</v>
      </c>
      <c r="G40" s="168">
        <f t="shared" si="14"/>
        <v>2500000</v>
      </c>
      <c r="H40" s="168"/>
      <c r="I40" s="168"/>
      <c r="J40" s="168"/>
      <c r="K40" s="168"/>
      <c r="L40" s="168"/>
      <c r="M40" s="168"/>
      <c r="N40" s="168">
        <f t="shared" si="4"/>
        <v>2500000</v>
      </c>
      <c r="O40" s="168">
        <f t="shared" si="5"/>
        <v>100000</v>
      </c>
      <c r="P40" s="168">
        <f t="shared" si="6"/>
        <v>100000</v>
      </c>
      <c r="Q40" s="168"/>
      <c r="R40" s="168"/>
      <c r="S40" s="168"/>
      <c r="T40" s="168"/>
      <c r="U40" s="168"/>
      <c r="V40" s="168"/>
      <c r="W40" s="168"/>
      <c r="X40" s="168">
        <f t="shared" si="1"/>
        <v>200000</v>
      </c>
      <c r="Y40" s="169">
        <f t="shared" si="13"/>
        <v>2300000</v>
      </c>
      <c r="Z40" s="169"/>
      <c r="AA40" s="157"/>
      <c r="AB40" s="169">
        <f t="shared" si="8"/>
        <v>2300000</v>
      </c>
      <c r="AC40" s="174" t="s">
        <v>79</v>
      </c>
    </row>
    <row r="41" spans="1:29" ht="13.5" x14ac:dyDescent="0.25">
      <c r="A41" s="216"/>
      <c r="B41" s="166">
        <v>38</v>
      </c>
      <c r="C41" s="167" t="s">
        <v>90</v>
      </c>
      <c r="D41" s="162" t="s">
        <v>32</v>
      </c>
      <c r="E41" s="168">
        <v>4500000</v>
      </c>
      <c r="F41" s="168">
        <v>30</v>
      </c>
      <c r="G41" s="168">
        <f t="shared" si="11"/>
        <v>4500000</v>
      </c>
      <c r="H41" s="168"/>
      <c r="I41" s="168"/>
      <c r="J41" s="168"/>
      <c r="K41" s="168"/>
      <c r="L41" s="168">
        <v>300000</v>
      </c>
      <c r="M41" s="168"/>
      <c r="N41" s="168">
        <f t="shared" si="4"/>
        <v>4800000</v>
      </c>
      <c r="O41" s="168">
        <f t="shared" si="5"/>
        <v>180000</v>
      </c>
      <c r="P41" s="168">
        <f t="shared" si="6"/>
        <v>180000</v>
      </c>
      <c r="Q41" s="168"/>
      <c r="R41" s="168"/>
      <c r="S41" s="168">
        <f>+G41*0.01</f>
        <v>45000</v>
      </c>
      <c r="T41" s="168">
        <v>8021</v>
      </c>
      <c r="U41" s="168"/>
      <c r="V41" s="168">
        <v>1020000</v>
      </c>
      <c r="W41" s="168"/>
      <c r="X41" s="168">
        <f t="shared" si="1"/>
        <v>1433021</v>
      </c>
      <c r="Y41" s="169">
        <f t="shared" si="13"/>
        <v>3366979</v>
      </c>
      <c r="Z41" s="169"/>
      <c r="AA41" s="157"/>
      <c r="AB41" s="169">
        <f t="shared" si="8"/>
        <v>3366979</v>
      </c>
      <c r="AC41" s="174" t="s">
        <v>79</v>
      </c>
    </row>
    <row r="42" spans="1:29" ht="13.5" x14ac:dyDescent="0.25">
      <c r="A42" s="216"/>
      <c r="B42" s="166">
        <v>39</v>
      </c>
      <c r="C42" s="167" t="s">
        <v>91</v>
      </c>
      <c r="D42" s="162" t="s">
        <v>32</v>
      </c>
      <c r="E42" s="168">
        <v>4500000</v>
      </c>
      <c r="F42" s="168">
        <v>30</v>
      </c>
      <c r="G42" s="168">
        <f t="shared" si="11"/>
        <v>4500000</v>
      </c>
      <c r="H42" s="168"/>
      <c r="I42" s="168"/>
      <c r="J42" s="168"/>
      <c r="K42" s="168"/>
      <c r="L42" s="168"/>
      <c r="M42" s="168"/>
      <c r="N42" s="168">
        <f t="shared" si="4"/>
        <v>4500000</v>
      </c>
      <c r="O42" s="168">
        <f t="shared" si="5"/>
        <v>180000</v>
      </c>
      <c r="P42" s="168">
        <f t="shared" si="6"/>
        <v>180000</v>
      </c>
      <c r="Q42" s="168"/>
      <c r="R42" s="168"/>
      <c r="S42" s="168">
        <f>+G42*1%</f>
        <v>45000</v>
      </c>
      <c r="T42" s="168">
        <v>34627</v>
      </c>
      <c r="U42" s="168"/>
      <c r="V42" s="168"/>
      <c r="W42" s="168"/>
      <c r="X42" s="168">
        <f t="shared" si="1"/>
        <v>439627</v>
      </c>
      <c r="Y42" s="169">
        <f t="shared" si="13"/>
        <v>4060373</v>
      </c>
      <c r="Z42" s="169"/>
      <c r="AA42" s="157"/>
      <c r="AB42" s="169">
        <f t="shared" si="8"/>
        <v>4060373</v>
      </c>
      <c r="AC42" s="174" t="s">
        <v>79</v>
      </c>
    </row>
    <row r="43" spans="1:29" ht="16.5" x14ac:dyDescent="0.3">
      <c r="A43" s="216"/>
      <c r="B43" s="166">
        <v>40</v>
      </c>
      <c r="C43" s="208" t="s">
        <v>92</v>
      </c>
      <c r="D43" s="165" t="s">
        <v>32</v>
      </c>
      <c r="E43" s="168">
        <v>5000000</v>
      </c>
      <c r="F43" s="168">
        <v>30</v>
      </c>
      <c r="G43" s="168">
        <f t="shared" si="11"/>
        <v>5000000</v>
      </c>
      <c r="H43" s="168"/>
      <c r="I43" s="168"/>
      <c r="J43" s="168"/>
      <c r="K43" s="168"/>
      <c r="L43" s="168"/>
      <c r="M43" s="168"/>
      <c r="N43" s="168">
        <f t="shared" si="4"/>
        <v>5000000</v>
      </c>
      <c r="O43" s="168">
        <f t="shared" si="5"/>
        <v>200000</v>
      </c>
      <c r="P43" s="168">
        <f t="shared" si="6"/>
        <v>200000</v>
      </c>
      <c r="Q43" s="168"/>
      <c r="R43" s="168"/>
      <c r="S43" s="168">
        <f>+G43*0.01</f>
        <v>50000</v>
      </c>
      <c r="T43" s="168">
        <v>139833</v>
      </c>
      <c r="U43" s="168"/>
      <c r="V43" s="168"/>
      <c r="W43" s="168"/>
      <c r="X43" s="168">
        <f t="shared" si="1"/>
        <v>589833</v>
      </c>
      <c r="Y43" s="169">
        <f t="shared" si="13"/>
        <v>4410167</v>
      </c>
      <c r="Z43" s="169"/>
      <c r="AA43" s="157"/>
      <c r="AB43" s="169">
        <f t="shared" si="8"/>
        <v>4410167</v>
      </c>
      <c r="AC43" s="170" t="s">
        <v>93</v>
      </c>
    </row>
    <row r="44" spans="1:29" ht="30.75" customHeight="1" x14ac:dyDescent="0.25">
      <c r="A44" s="216"/>
      <c r="B44" s="166">
        <v>41</v>
      </c>
      <c r="C44" s="167" t="s">
        <v>94</v>
      </c>
      <c r="D44" s="162" t="s">
        <v>32</v>
      </c>
      <c r="E44" s="168">
        <v>4500000</v>
      </c>
      <c r="F44" s="168">
        <v>30</v>
      </c>
      <c r="G44" s="168">
        <f t="shared" si="11"/>
        <v>4500000</v>
      </c>
      <c r="H44" s="168"/>
      <c r="I44" s="168"/>
      <c r="J44" s="168"/>
      <c r="K44" s="168"/>
      <c r="L44" s="168">
        <v>300000</v>
      </c>
      <c r="M44" s="168"/>
      <c r="N44" s="168">
        <f t="shared" si="4"/>
        <v>4800000</v>
      </c>
      <c r="O44" s="168">
        <f t="shared" si="5"/>
        <v>180000</v>
      </c>
      <c r="P44" s="168">
        <f t="shared" si="6"/>
        <v>180000</v>
      </c>
      <c r="Q44" s="168"/>
      <c r="R44" s="168"/>
      <c r="S44" s="168">
        <v>45000</v>
      </c>
      <c r="T44" s="168">
        <v>98752</v>
      </c>
      <c r="U44" s="168"/>
      <c r="V44" s="168"/>
      <c r="W44" s="168"/>
      <c r="X44" s="168">
        <f t="shared" si="1"/>
        <v>503752</v>
      </c>
      <c r="Y44" s="169">
        <f>N44-X44</f>
        <v>4296248</v>
      </c>
      <c r="Z44" s="169"/>
      <c r="AA44" s="157"/>
      <c r="AB44" s="169">
        <f t="shared" si="8"/>
        <v>4296248</v>
      </c>
      <c r="AC44" s="177" t="s">
        <v>95</v>
      </c>
    </row>
    <row r="45" spans="1:29" ht="16.5" x14ac:dyDescent="0.3">
      <c r="A45" s="216"/>
      <c r="B45" s="166">
        <v>42</v>
      </c>
      <c r="C45" s="167" t="s">
        <v>96</v>
      </c>
      <c r="D45" s="162" t="s">
        <v>32</v>
      </c>
      <c r="E45" s="168">
        <v>6900000</v>
      </c>
      <c r="F45" s="168">
        <v>30</v>
      </c>
      <c r="G45" s="168">
        <f t="shared" si="11"/>
        <v>6900000</v>
      </c>
      <c r="H45" s="168"/>
      <c r="I45" s="168"/>
      <c r="J45" s="168"/>
      <c r="K45" s="168"/>
      <c r="L45" s="168"/>
      <c r="M45" s="168"/>
      <c r="N45" s="168">
        <f t="shared" si="4"/>
        <v>6900000</v>
      </c>
      <c r="O45" s="168">
        <f t="shared" si="5"/>
        <v>276000</v>
      </c>
      <c r="P45" s="168">
        <f t="shared" si="6"/>
        <v>276000</v>
      </c>
      <c r="Q45" s="168"/>
      <c r="R45" s="168"/>
      <c r="S45" s="168">
        <f>+G45*0.01</f>
        <v>69000</v>
      </c>
      <c r="T45" s="168">
        <v>88069</v>
      </c>
      <c r="U45" s="168">
        <v>1500000</v>
      </c>
      <c r="V45" s="168"/>
      <c r="W45" s="168"/>
      <c r="X45" s="168">
        <f t="shared" si="1"/>
        <v>2209069</v>
      </c>
      <c r="Y45" s="169">
        <f>N45-X45</f>
        <v>4690931</v>
      </c>
      <c r="Z45" s="169"/>
      <c r="AA45" s="157"/>
      <c r="AB45" s="169">
        <f t="shared" si="8"/>
        <v>4690931</v>
      </c>
      <c r="AC45" s="170" t="s">
        <v>97</v>
      </c>
    </row>
    <row r="46" spans="1:29" ht="16.5" x14ac:dyDescent="0.3">
      <c r="A46" s="217"/>
      <c r="B46" s="166">
        <v>43</v>
      </c>
      <c r="C46" s="167" t="s">
        <v>98</v>
      </c>
      <c r="D46" s="162" t="s">
        <v>32</v>
      </c>
      <c r="E46" s="168">
        <v>4000000</v>
      </c>
      <c r="F46" s="168">
        <v>30</v>
      </c>
      <c r="G46" s="168">
        <f t="shared" si="11"/>
        <v>4000000.0000000005</v>
      </c>
      <c r="H46" s="168"/>
      <c r="I46" s="168"/>
      <c r="J46" s="168"/>
      <c r="K46" s="168"/>
      <c r="L46" s="168"/>
      <c r="M46" s="168"/>
      <c r="N46" s="168">
        <f t="shared" si="4"/>
        <v>4000000.0000000005</v>
      </c>
      <c r="O46" s="168">
        <f t="shared" si="5"/>
        <v>160000.00000000003</v>
      </c>
      <c r="P46" s="168">
        <f t="shared" si="6"/>
        <v>160000.00000000003</v>
      </c>
      <c r="Q46" s="168"/>
      <c r="R46" s="168"/>
      <c r="S46" s="168">
        <f>+G46*0.01</f>
        <v>40000.000000000007</v>
      </c>
      <c r="T46" s="168">
        <v>31000</v>
      </c>
      <c r="U46" s="168"/>
      <c r="V46" s="168"/>
      <c r="W46" s="168"/>
      <c r="X46" s="168">
        <f t="shared" si="1"/>
        <v>391000.00000000006</v>
      </c>
      <c r="Y46" s="169">
        <f>N46-X46</f>
        <v>3609000.0000000005</v>
      </c>
      <c r="Z46" s="169"/>
      <c r="AA46" s="157"/>
      <c r="AB46" s="169">
        <f t="shared" si="8"/>
        <v>3609000.0000000005</v>
      </c>
      <c r="AC46" s="170"/>
    </row>
    <row r="47" spans="1:29" ht="16.5" x14ac:dyDescent="0.3">
      <c r="A47" s="218" t="s">
        <v>99</v>
      </c>
      <c r="B47" s="166">
        <v>44</v>
      </c>
      <c r="C47" s="167" t="s">
        <v>100</v>
      </c>
      <c r="D47" s="162" t="s">
        <v>32</v>
      </c>
      <c r="E47" s="168">
        <v>2000000</v>
      </c>
      <c r="F47" s="168">
        <v>30</v>
      </c>
      <c r="G47" s="168">
        <f t="shared" si="11"/>
        <v>2000000.0000000002</v>
      </c>
      <c r="H47" s="168"/>
      <c r="I47" s="168"/>
      <c r="J47" s="168"/>
      <c r="K47" s="168"/>
      <c r="L47" s="168">
        <v>500000</v>
      </c>
      <c r="M47" s="168"/>
      <c r="N47" s="168">
        <f t="shared" si="4"/>
        <v>2500000</v>
      </c>
      <c r="O47" s="168">
        <f t="shared" si="5"/>
        <v>80000.000000000015</v>
      </c>
      <c r="P47" s="168">
        <f t="shared" si="6"/>
        <v>80000.000000000015</v>
      </c>
      <c r="Q47" s="168"/>
      <c r="R47" s="168"/>
      <c r="S47" s="168"/>
      <c r="T47" s="171">
        <v>0</v>
      </c>
      <c r="U47" s="168"/>
      <c r="V47" s="168">
        <v>163485</v>
      </c>
      <c r="W47" s="168">
        <v>152804</v>
      </c>
      <c r="X47" s="168">
        <f t="shared" si="1"/>
        <v>476289</v>
      </c>
      <c r="Y47" s="169">
        <f t="shared" ref="Y47:Y53" si="16">+N47-X47</f>
        <v>2023711</v>
      </c>
      <c r="Z47" s="169"/>
      <c r="AA47" s="157"/>
      <c r="AB47" s="169">
        <f t="shared" si="8"/>
        <v>2023711</v>
      </c>
      <c r="AC47" s="170" t="s">
        <v>101</v>
      </c>
    </row>
    <row r="48" spans="1:29" ht="16.5" x14ac:dyDescent="0.3">
      <c r="A48" s="218"/>
      <c r="B48" s="166">
        <v>45</v>
      </c>
      <c r="C48" s="167" t="s">
        <v>102</v>
      </c>
      <c r="D48" s="162" t="s">
        <v>32</v>
      </c>
      <c r="E48" s="168">
        <v>689455</v>
      </c>
      <c r="F48" s="168">
        <v>30</v>
      </c>
      <c r="G48" s="168">
        <f t="shared" si="11"/>
        <v>689455</v>
      </c>
      <c r="H48" s="168"/>
      <c r="I48" s="168"/>
      <c r="J48" s="168"/>
      <c r="K48" s="168"/>
      <c r="L48" s="168"/>
      <c r="M48" s="168"/>
      <c r="N48" s="168">
        <f t="shared" si="4"/>
        <v>689455</v>
      </c>
      <c r="O48" s="168"/>
      <c r="P48" s="168"/>
      <c r="Q48" s="168"/>
      <c r="R48" s="168"/>
      <c r="S48" s="168"/>
      <c r="T48" s="171"/>
      <c r="U48" s="168"/>
      <c r="V48" s="168"/>
      <c r="W48" s="168"/>
      <c r="X48" s="168"/>
      <c r="Y48" s="169">
        <f t="shared" si="16"/>
        <v>689455</v>
      </c>
      <c r="Z48" s="169"/>
      <c r="AA48" s="157"/>
      <c r="AB48" s="169">
        <f t="shared" si="8"/>
        <v>689455</v>
      </c>
      <c r="AC48" s="170"/>
    </row>
    <row r="49" spans="1:32" ht="25.5" x14ac:dyDescent="0.3">
      <c r="A49" s="218"/>
      <c r="B49" s="166">
        <v>46</v>
      </c>
      <c r="C49" s="167" t="s">
        <v>103</v>
      </c>
      <c r="D49" s="162" t="s">
        <v>32</v>
      </c>
      <c r="E49" s="168">
        <v>344727</v>
      </c>
      <c r="F49" s="168">
        <v>30</v>
      </c>
      <c r="G49" s="168">
        <f t="shared" si="11"/>
        <v>344727</v>
      </c>
      <c r="H49" s="168"/>
      <c r="I49" s="168"/>
      <c r="J49" s="168"/>
      <c r="K49" s="168"/>
      <c r="L49" s="168"/>
      <c r="M49" s="168"/>
      <c r="N49" s="168">
        <f t="shared" si="4"/>
        <v>344727</v>
      </c>
      <c r="O49" s="168"/>
      <c r="P49" s="168"/>
      <c r="Q49" s="168"/>
      <c r="R49" s="168"/>
      <c r="S49" s="168"/>
      <c r="T49" s="171"/>
      <c r="U49" s="168"/>
      <c r="V49" s="168"/>
      <c r="W49" s="168"/>
      <c r="X49" s="168">
        <f t="shared" si="1"/>
        <v>0</v>
      </c>
      <c r="Y49" s="169">
        <f t="shared" si="16"/>
        <v>344727</v>
      </c>
      <c r="Z49" s="169"/>
      <c r="AA49" s="157"/>
      <c r="AB49" s="169">
        <f t="shared" si="8"/>
        <v>344727</v>
      </c>
      <c r="AC49" s="170"/>
    </row>
    <row r="50" spans="1:32" ht="16.5" x14ac:dyDescent="0.3">
      <c r="A50" s="218"/>
      <c r="B50" s="166">
        <v>47</v>
      </c>
      <c r="C50" s="167" t="s">
        <v>104</v>
      </c>
      <c r="D50" s="162" t="s">
        <v>105</v>
      </c>
      <c r="E50" s="168">
        <v>800000</v>
      </c>
      <c r="F50" s="168">
        <v>30</v>
      </c>
      <c r="G50" s="168">
        <f t="shared" si="11"/>
        <v>800000</v>
      </c>
      <c r="H50" s="168">
        <v>77700</v>
      </c>
      <c r="I50" s="168"/>
      <c r="J50" s="168"/>
      <c r="K50" s="168"/>
      <c r="L50" s="168"/>
      <c r="M50" s="168"/>
      <c r="N50" s="168">
        <f t="shared" si="4"/>
        <v>877700</v>
      </c>
      <c r="O50" s="168">
        <f t="shared" ref="O50:O55" si="17">+G50*4%</f>
        <v>32000</v>
      </c>
      <c r="P50" s="168">
        <f t="shared" ref="P50:P55" si="18">+G50*4%</f>
        <v>32000</v>
      </c>
      <c r="Q50" s="168"/>
      <c r="R50" s="168"/>
      <c r="S50" s="168"/>
      <c r="T50" s="171"/>
      <c r="U50" s="168"/>
      <c r="V50" s="168"/>
      <c r="W50" s="168"/>
      <c r="X50" s="168">
        <f t="shared" si="1"/>
        <v>64000</v>
      </c>
      <c r="Y50" s="169">
        <f t="shared" si="16"/>
        <v>813700</v>
      </c>
      <c r="Z50" s="169"/>
      <c r="AA50" s="157"/>
      <c r="AB50" s="169">
        <f t="shared" si="8"/>
        <v>813700</v>
      </c>
      <c r="AC50" s="170"/>
    </row>
    <row r="51" spans="1:32" ht="41.25" customHeight="1" x14ac:dyDescent="0.3">
      <c r="A51" s="218"/>
      <c r="B51" s="166">
        <v>48</v>
      </c>
      <c r="C51" s="167" t="s">
        <v>106</v>
      </c>
      <c r="D51" s="162" t="s">
        <v>32</v>
      </c>
      <c r="E51" s="168">
        <v>1100000</v>
      </c>
      <c r="F51" s="168">
        <v>30</v>
      </c>
      <c r="G51" s="168">
        <f>E51/30*F51</f>
        <v>1100000</v>
      </c>
      <c r="H51" s="168">
        <v>77700</v>
      </c>
      <c r="I51" s="168"/>
      <c r="J51" s="168"/>
      <c r="K51" s="168"/>
      <c r="L51" s="168"/>
      <c r="M51" s="168"/>
      <c r="N51" s="168">
        <f t="shared" si="4"/>
        <v>1177700</v>
      </c>
      <c r="O51" s="168">
        <f t="shared" si="17"/>
        <v>44000</v>
      </c>
      <c r="P51" s="168">
        <f t="shared" si="18"/>
        <v>44000</v>
      </c>
      <c r="Q51" s="168"/>
      <c r="R51" s="168"/>
      <c r="S51" s="168"/>
      <c r="T51" s="168">
        <v>0</v>
      </c>
      <c r="U51" s="168"/>
      <c r="V51" s="168"/>
      <c r="W51" s="168"/>
      <c r="X51" s="168">
        <f>SUM(O51:W51)</f>
        <v>88000</v>
      </c>
      <c r="Y51" s="169">
        <f>+N51-X51</f>
        <v>1089700</v>
      </c>
      <c r="Z51" s="169"/>
      <c r="AA51" s="157"/>
      <c r="AB51" s="169">
        <f t="shared" si="8"/>
        <v>1089700</v>
      </c>
      <c r="AC51" s="170"/>
    </row>
    <row r="52" spans="1:32" ht="25.5" x14ac:dyDescent="0.3">
      <c r="A52" s="218"/>
      <c r="B52" s="166">
        <v>49</v>
      </c>
      <c r="C52" s="167" t="s">
        <v>107</v>
      </c>
      <c r="D52" s="162" t="s">
        <v>32</v>
      </c>
      <c r="E52" s="168">
        <v>800000</v>
      </c>
      <c r="F52" s="168">
        <v>29</v>
      </c>
      <c r="G52" s="168">
        <f>(E52/30*F52)+17779</f>
        <v>791112.33333333337</v>
      </c>
      <c r="H52" s="168">
        <v>77700</v>
      </c>
      <c r="I52" s="168"/>
      <c r="J52" s="168"/>
      <c r="K52" s="168"/>
      <c r="L52" s="168"/>
      <c r="M52" s="168"/>
      <c r="N52" s="168">
        <f t="shared" si="4"/>
        <v>868812.33333333337</v>
      </c>
      <c r="O52" s="168">
        <f t="shared" si="17"/>
        <v>31644.493333333336</v>
      </c>
      <c r="P52" s="168">
        <f t="shared" si="18"/>
        <v>31644.493333333336</v>
      </c>
      <c r="Q52" s="168"/>
      <c r="R52" s="168"/>
      <c r="S52" s="168"/>
      <c r="T52" s="168">
        <v>0</v>
      </c>
      <c r="U52" s="168"/>
      <c r="V52" s="168"/>
      <c r="W52" s="168"/>
      <c r="X52" s="168">
        <f t="shared" si="1"/>
        <v>63288.986666666671</v>
      </c>
      <c r="Y52" s="169">
        <f t="shared" si="16"/>
        <v>805523.34666666668</v>
      </c>
      <c r="Z52" s="169"/>
      <c r="AA52" s="157"/>
      <c r="AB52" s="169">
        <f t="shared" si="8"/>
        <v>805523.34666666668</v>
      </c>
      <c r="AC52" s="170" t="s">
        <v>108</v>
      </c>
    </row>
    <row r="53" spans="1:32" ht="16.5" x14ac:dyDescent="0.3">
      <c r="A53" s="218"/>
      <c r="B53" s="166">
        <v>50</v>
      </c>
      <c r="C53" s="167" t="s">
        <v>109</v>
      </c>
      <c r="D53" s="162" t="s">
        <v>32</v>
      </c>
      <c r="E53" s="168">
        <v>900000</v>
      </c>
      <c r="F53" s="168">
        <v>30</v>
      </c>
      <c r="G53" s="168">
        <f>E53/30*F53</f>
        <v>900000</v>
      </c>
      <c r="H53" s="168">
        <v>77700</v>
      </c>
      <c r="I53" s="168"/>
      <c r="J53" s="168"/>
      <c r="K53" s="168"/>
      <c r="L53" s="168"/>
      <c r="M53" s="168"/>
      <c r="N53" s="168">
        <f t="shared" si="4"/>
        <v>977700</v>
      </c>
      <c r="O53" s="168">
        <f t="shared" si="17"/>
        <v>36000</v>
      </c>
      <c r="P53" s="168">
        <f t="shared" si="18"/>
        <v>36000</v>
      </c>
      <c r="Q53" s="168"/>
      <c r="R53" s="168"/>
      <c r="S53" s="168"/>
      <c r="T53" s="168">
        <v>0</v>
      </c>
      <c r="U53" s="168"/>
      <c r="V53" s="168"/>
      <c r="W53" s="168"/>
      <c r="X53" s="168">
        <f t="shared" si="1"/>
        <v>72000</v>
      </c>
      <c r="Y53" s="169">
        <f t="shared" si="16"/>
        <v>905700</v>
      </c>
      <c r="Z53" s="169"/>
      <c r="AA53" s="157"/>
      <c r="AB53" s="169">
        <f t="shared" si="8"/>
        <v>905700</v>
      </c>
      <c r="AC53" s="170" t="s">
        <v>110</v>
      </c>
    </row>
    <row r="54" spans="1:32" ht="16.5" x14ac:dyDescent="0.3">
      <c r="A54" s="218"/>
      <c r="B54" s="166">
        <v>51</v>
      </c>
      <c r="C54" s="160" t="s">
        <v>111</v>
      </c>
      <c r="D54" s="156" t="s">
        <v>32</v>
      </c>
      <c r="E54" s="168">
        <v>2500000</v>
      </c>
      <c r="F54" s="168">
        <v>30</v>
      </c>
      <c r="G54" s="168">
        <f>+E54/30*F54</f>
        <v>2500000</v>
      </c>
      <c r="H54" s="168"/>
      <c r="I54" s="168"/>
      <c r="J54" s="168"/>
      <c r="K54" s="168"/>
      <c r="L54" s="168"/>
      <c r="M54" s="168"/>
      <c r="N54" s="168">
        <f t="shared" si="4"/>
        <v>2500000</v>
      </c>
      <c r="O54" s="168">
        <f t="shared" si="17"/>
        <v>100000</v>
      </c>
      <c r="P54" s="168">
        <f t="shared" si="18"/>
        <v>100000</v>
      </c>
      <c r="Q54" s="168"/>
      <c r="R54" s="168"/>
      <c r="S54" s="168"/>
      <c r="T54" s="168">
        <v>0</v>
      </c>
      <c r="U54" s="168"/>
      <c r="V54" s="168"/>
      <c r="W54" s="168"/>
      <c r="X54" s="168">
        <f t="shared" si="1"/>
        <v>200000</v>
      </c>
      <c r="Y54" s="169">
        <f>N54-X54</f>
        <v>2300000</v>
      </c>
      <c r="Z54" s="169"/>
      <c r="AA54" s="157"/>
      <c r="AB54" s="169">
        <f t="shared" si="8"/>
        <v>2300000</v>
      </c>
      <c r="AC54" s="170" t="s">
        <v>112</v>
      </c>
    </row>
    <row r="55" spans="1:32" ht="16.5" x14ac:dyDescent="0.3">
      <c r="A55" s="218"/>
      <c r="B55" s="166">
        <v>52</v>
      </c>
      <c r="C55" s="167" t="s">
        <v>113</v>
      </c>
      <c r="D55" s="162" t="s">
        <v>32</v>
      </c>
      <c r="E55" s="168">
        <v>2500000</v>
      </c>
      <c r="F55" s="168">
        <v>30</v>
      </c>
      <c r="G55" s="168">
        <f t="shared" ref="G55:G56" si="19">+E55/30*F55</f>
        <v>2500000</v>
      </c>
      <c r="H55" s="168"/>
      <c r="I55" s="168"/>
      <c r="J55" s="168"/>
      <c r="K55" s="168"/>
      <c r="L55" s="168">
        <v>500000</v>
      </c>
      <c r="M55" s="168"/>
      <c r="N55" s="168">
        <f t="shared" si="4"/>
        <v>3000000</v>
      </c>
      <c r="O55" s="168">
        <f t="shared" si="17"/>
        <v>100000</v>
      </c>
      <c r="P55" s="168">
        <f t="shared" si="18"/>
        <v>100000</v>
      </c>
      <c r="Q55" s="168"/>
      <c r="R55" s="168"/>
      <c r="S55" s="168"/>
      <c r="T55" s="168">
        <v>0</v>
      </c>
      <c r="U55" s="168"/>
      <c r="V55" s="168"/>
      <c r="W55" s="168">
        <v>766228</v>
      </c>
      <c r="X55" s="168">
        <f t="shared" si="1"/>
        <v>966228</v>
      </c>
      <c r="Y55" s="169">
        <f t="shared" ref="Y55:Y58" si="20">N55-X55</f>
        <v>2033772</v>
      </c>
      <c r="Z55" s="169"/>
      <c r="AA55" s="157"/>
      <c r="AB55" s="169">
        <f t="shared" si="8"/>
        <v>2033772</v>
      </c>
      <c r="AC55" s="170" t="s">
        <v>114</v>
      </c>
    </row>
    <row r="56" spans="1:32" ht="16.5" x14ac:dyDescent="0.3">
      <c r="A56" s="218"/>
      <c r="B56" s="166">
        <v>53</v>
      </c>
      <c r="C56" s="167" t="s">
        <v>115</v>
      </c>
      <c r="D56" s="162" t="s">
        <v>32</v>
      </c>
      <c r="E56" s="168">
        <v>344727</v>
      </c>
      <c r="F56" s="168">
        <v>30</v>
      </c>
      <c r="G56" s="168">
        <f t="shared" si="19"/>
        <v>344727</v>
      </c>
      <c r="H56" s="168"/>
      <c r="I56" s="168"/>
      <c r="J56" s="168"/>
      <c r="K56" s="168"/>
      <c r="L56" s="168"/>
      <c r="M56" s="168"/>
      <c r="N56" s="168">
        <f t="shared" si="4"/>
        <v>344727</v>
      </c>
      <c r="O56" s="168"/>
      <c r="P56" s="168"/>
      <c r="Q56" s="168"/>
      <c r="R56" s="168"/>
      <c r="S56" s="168"/>
      <c r="T56" s="168"/>
      <c r="U56" s="168"/>
      <c r="V56" s="168"/>
      <c r="W56" s="168"/>
      <c r="X56" s="168">
        <f t="shared" si="1"/>
        <v>0</v>
      </c>
      <c r="Y56" s="169">
        <f t="shared" si="20"/>
        <v>344727</v>
      </c>
      <c r="Z56" s="169"/>
      <c r="AA56" s="157"/>
      <c r="AB56" s="169">
        <f t="shared" si="8"/>
        <v>344727</v>
      </c>
      <c r="AC56" s="170"/>
    </row>
    <row r="57" spans="1:32" ht="12.75" x14ac:dyDescent="0.25">
      <c r="A57" s="218"/>
      <c r="B57" s="166">
        <v>54</v>
      </c>
      <c r="C57" s="167" t="s">
        <v>116</v>
      </c>
      <c r="D57" s="162" t="s">
        <v>32</v>
      </c>
      <c r="E57" s="168">
        <v>2000000</v>
      </c>
      <c r="F57" s="168">
        <v>30</v>
      </c>
      <c r="G57" s="168">
        <f>E57/30*F57</f>
        <v>2000000.0000000002</v>
      </c>
      <c r="H57" s="168"/>
      <c r="I57" s="168"/>
      <c r="J57" s="168"/>
      <c r="K57" s="168"/>
      <c r="L57" s="168"/>
      <c r="M57" s="168"/>
      <c r="N57" s="168">
        <f t="shared" si="4"/>
        <v>2000000.0000000002</v>
      </c>
      <c r="O57" s="168">
        <f t="shared" ref="O57:O58" si="21">+G57*4%</f>
        <v>80000.000000000015</v>
      </c>
      <c r="P57" s="168">
        <f t="shared" ref="P57:P58" si="22">+G57*4%</f>
        <v>80000.000000000015</v>
      </c>
      <c r="Q57" s="168"/>
      <c r="R57" s="168"/>
      <c r="S57" s="168"/>
      <c r="T57" s="168">
        <v>0</v>
      </c>
      <c r="U57" s="168"/>
      <c r="V57" s="168"/>
      <c r="W57" s="168"/>
      <c r="X57" s="168">
        <f t="shared" si="1"/>
        <v>160000.00000000003</v>
      </c>
      <c r="Y57" s="169">
        <f t="shared" si="20"/>
        <v>1840000.0000000002</v>
      </c>
      <c r="Z57" s="169"/>
      <c r="AA57" s="157"/>
      <c r="AB57" s="169">
        <f t="shared" si="8"/>
        <v>1840000.0000000002</v>
      </c>
      <c r="AC57" s="178" t="s">
        <v>117</v>
      </c>
    </row>
    <row r="58" spans="1:32" ht="16.5" x14ac:dyDescent="0.3">
      <c r="A58" s="218"/>
      <c r="B58" s="166">
        <v>55</v>
      </c>
      <c r="C58" s="167" t="s">
        <v>118</v>
      </c>
      <c r="D58" s="162" t="s">
        <v>32</v>
      </c>
      <c r="E58" s="168">
        <v>1300000</v>
      </c>
      <c r="F58" s="168">
        <v>29</v>
      </c>
      <c r="G58" s="168">
        <f>(E58/30*F58)+28890</f>
        <v>1285556.6666666667</v>
      </c>
      <c r="H58" s="168">
        <v>77700</v>
      </c>
      <c r="I58" s="168"/>
      <c r="J58" s="168"/>
      <c r="K58" s="168"/>
      <c r="L58" s="168"/>
      <c r="M58" s="168"/>
      <c r="N58" s="168">
        <f t="shared" si="4"/>
        <v>1363256.6666666667</v>
      </c>
      <c r="O58" s="168">
        <f t="shared" si="21"/>
        <v>51422.26666666667</v>
      </c>
      <c r="P58" s="168">
        <f t="shared" si="22"/>
        <v>51422.26666666667</v>
      </c>
      <c r="Q58" s="168"/>
      <c r="R58" s="168"/>
      <c r="S58" s="168"/>
      <c r="T58" s="168">
        <v>0</v>
      </c>
      <c r="U58" s="168"/>
      <c r="V58" s="168"/>
      <c r="W58" s="168"/>
      <c r="X58" s="168">
        <f t="shared" si="1"/>
        <v>102844.53333333334</v>
      </c>
      <c r="Y58" s="169">
        <f t="shared" si="20"/>
        <v>1260412.1333333333</v>
      </c>
      <c r="Z58" s="169"/>
      <c r="AA58" s="157"/>
      <c r="AB58" s="169">
        <f t="shared" si="8"/>
        <v>1260412.1333333333</v>
      </c>
      <c r="AC58" s="170" t="s">
        <v>119</v>
      </c>
      <c r="AF58" s="159">
        <f>1196000+644000</f>
        <v>1840000</v>
      </c>
    </row>
    <row r="59" spans="1:32" ht="16.5" x14ac:dyDescent="0.25">
      <c r="A59" s="218"/>
      <c r="B59" s="166">
        <v>56</v>
      </c>
      <c r="C59" s="160" t="s">
        <v>120</v>
      </c>
      <c r="D59" s="156" t="s">
        <v>32</v>
      </c>
      <c r="E59" s="168">
        <v>344727</v>
      </c>
      <c r="F59" s="168">
        <v>30</v>
      </c>
      <c r="G59" s="168">
        <f>+E59/30*F59</f>
        <v>344727</v>
      </c>
      <c r="H59" s="168"/>
      <c r="I59" s="168"/>
      <c r="J59" s="168"/>
      <c r="K59" s="168"/>
      <c r="L59" s="168"/>
      <c r="M59" s="168"/>
      <c r="N59" s="168">
        <f t="shared" si="4"/>
        <v>344727</v>
      </c>
      <c r="O59" s="168"/>
      <c r="P59" s="168"/>
      <c r="Q59" s="168"/>
      <c r="R59" s="168"/>
      <c r="S59" s="168"/>
      <c r="T59" s="168"/>
      <c r="U59" s="168"/>
      <c r="V59" s="168"/>
      <c r="W59" s="168"/>
      <c r="X59" s="168">
        <f t="shared" si="1"/>
        <v>0</v>
      </c>
      <c r="Y59" s="169">
        <f>N59-X59</f>
        <v>344727</v>
      </c>
      <c r="Z59" s="169"/>
      <c r="AA59" s="157"/>
      <c r="AB59" s="169">
        <f t="shared" si="8"/>
        <v>344727</v>
      </c>
      <c r="AC59" s="173"/>
      <c r="AF59" s="159">
        <f>1840000-1196000</f>
        <v>644000</v>
      </c>
    </row>
    <row r="60" spans="1:32" ht="16.5" x14ac:dyDescent="0.3">
      <c r="A60" s="218"/>
      <c r="B60" s="166">
        <v>57</v>
      </c>
      <c r="C60" s="167" t="s">
        <v>121</v>
      </c>
      <c r="D60" s="162" t="s">
        <v>105</v>
      </c>
      <c r="E60" s="168">
        <v>800000</v>
      </c>
      <c r="F60" s="168">
        <v>30</v>
      </c>
      <c r="G60" s="168">
        <f t="shared" ref="G60" si="23">+E60/30*F60</f>
        <v>800000</v>
      </c>
      <c r="H60" s="168">
        <v>77700</v>
      </c>
      <c r="I60" s="168"/>
      <c r="J60" s="168"/>
      <c r="K60" s="168"/>
      <c r="L60" s="168"/>
      <c r="M60" s="168"/>
      <c r="N60" s="168">
        <f t="shared" si="4"/>
        <v>877700</v>
      </c>
      <c r="O60" s="168">
        <f t="shared" ref="O60:O84" si="24">+G60*4%</f>
        <v>32000</v>
      </c>
      <c r="P60" s="168">
        <f t="shared" ref="P60:P84" si="25">+G60*4%</f>
        <v>32000</v>
      </c>
      <c r="Q60" s="168"/>
      <c r="R60" s="168"/>
      <c r="S60" s="168"/>
      <c r="T60" s="171"/>
      <c r="U60" s="168"/>
      <c r="V60" s="168"/>
      <c r="W60" s="168"/>
      <c r="X60" s="168">
        <f t="shared" ref="X60" si="26">SUM(O60:W60)</f>
        <v>64000</v>
      </c>
      <c r="Y60" s="169">
        <f t="shared" ref="Y60" si="27">+N60-X60</f>
        <v>813700</v>
      </c>
      <c r="Z60" s="169"/>
      <c r="AA60" s="157"/>
      <c r="AB60" s="169">
        <f t="shared" si="8"/>
        <v>813700</v>
      </c>
      <c r="AC60" s="170"/>
    </row>
    <row r="61" spans="1:32" ht="16.5" x14ac:dyDescent="0.3">
      <c r="A61" s="218"/>
      <c r="B61" s="166">
        <v>58</v>
      </c>
      <c r="C61" s="160" t="s">
        <v>122</v>
      </c>
      <c r="D61" s="156" t="s">
        <v>32</v>
      </c>
      <c r="E61" s="168">
        <v>1500000</v>
      </c>
      <c r="F61" s="168">
        <v>30</v>
      </c>
      <c r="G61" s="168">
        <f>+E61/30*F61</f>
        <v>1500000</v>
      </c>
      <c r="H61" s="168"/>
      <c r="I61" s="168"/>
      <c r="J61" s="168"/>
      <c r="K61" s="168"/>
      <c r="L61" s="168">
        <v>500000</v>
      </c>
      <c r="M61" s="168"/>
      <c r="N61" s="168">
        <f t="shared" si="4"/>
        <v>2000000</v>
      </c>
      <c r="O61" s="168">
        <f t="shared" si="24"/>
        <v>60000</v>
      </c>
      <c r="P61" s="168">
        <f t="shared" si="25"/>
        <v>60000</v>
      </c>
      <c r="Q61" s="168"/>
      <c r="R61" s="168"/>
      <c r="S61" s="168"/>
      <c r="T61" s="168">
        <v>0</v>
      </c>
      <c r="U61" s="168"/>
      <c r="V61" s="168">
        <v>107336</v>
      </c>
      <c r="W61" s="168"/>
      <c r="X61" s="168">
        <f t="shared" si="1"/>
        <v>227336</v>
      </c>
      <c r="Y61" s="169">
        <f>N61-X61</f>
        <v>1772664</v>
      </c>
      <c r="Z61" s="169"/>
      <c r="AA61" s="157"/>
      <c r="AB61" s="169">
        <f>Y61+Z61-AA61</f>
        <v>1772664</v>
      </c>
      <c r="AC61" s="170" t="s">
        <v>123</v>
      </c>
    </row>
    <row r="62" spans="1:32" ht="16.5" x14ac:dyDescent="0.25">
      <c r="A62" s="218"/>
      <c r="B62" s="166">
        <v>59</v>
      </c>
      <c r="C62" s="167" t="s">
        <v>124</v>
      </c>
      <c r="D62" s="162" t="s">
        <v>32</v>
      </c>
      <c r="E62" s="168">
        <v>1500000</v>
      </c>
      <c r="F62" s="168">
        <v>30</v>
      </c>
      <c r="G62" s="168">
        <f>+E62/30*F62</f>
        <v>1500000</v>
      </c>
      <c r="H62" s="168"/>
      <c r="I62" s="168"/>
      <c r="J62" s="168"/>
      <c r="K62" s="168"/>
      <c r="L62" s="168">
        <v>100000</v>
      </c>
      <c r="M62" s="168"/>
      <c r="N62" s="168">
        <f t="shared" si="4"/>
        <v>1600000</v>
      </c>
      <c r="O62" s="168">
        <f t="shared" si="24"/>
        <v>60000</v>
      </c>
      <c r="P62" s="168">
        <f t="shared" si="25"/>
        <v>60000</v>
      </c>
      <c r="Q62" s="168"/>
      <c r="R62" s="168"/>
      <c r="S62" s="168"/>
      <c r="T62" s="168">
        <v>0</v>
      </c>
      <c r="U62" s="168"/>
      <c r="V62" s="168"/>
      <c r="W62" s="168"/>
      <c r="X62" s="168">
        <f t="shared" si="1"/>
        <v>120000</v>
      </c>
      <c r="Y62" s="169">
        <f t="shared" ref="Y62:Y68" si="28">+N62-X62</f>
        <v>1480000</v>
      </c>
      <c r="Z62" s="169"/>
      <c r="AA62" s="157"/>
      <c r="AB62" s="169">
        <f t="shared" si="8"/>
        <v>1480000</v>
      </c>
      <c r="AC62" s="179" t="s">
        <v>125</v>
      </c>
    </row>
    <row r="63" spans="1:32" ht="26.25" customHeight="1" x14ac:dyDescent="0.25">
      <c r="A63" s="218"/>
      <c r="B63" s="166">
        <v>60</v>
      </c>
      <c r="C63" s="167" t="s">
        <v>126</v>
      </c>
      <c r="D63" s="162" t="s">
        <v>32</v>
      </c>
      <c r="E63" s="168">
        <v>3000000</v>
      </c>
      <c r="F63" s="168">
        <v>30</v>
      </c>
      <c r="G63" s="168">
        <f t="shared" ref="G63:G71" si="29">+E63/30*F63</f>
        <v>3000000</v>
      </c>
      <c r="H63" s="168"/>
      <c r="I63" s="168"/>
      <c r="J63" s="168"/>
      <c r="K63" s="168"/>
      <c r="L63" s="168"/>
      <c r="M63" s="168"/>
      <c r="N63" s="168">
        <f t="shared" si="4"/>
        <v>3000000</v>
      </c>
      <c r="O63" s="168">
        <f t="shared" si="24"/>
        <v>120000</v>
      </c>
      <c r="P63" s="168">
        <f t="shared" si="25"/>
        <v>120000</v>
      </c>
      <c r="Q63" s="168"/>
      <c r="R63" s="168"/>
      <c r="S63" s="168">
        <f>+G63*1%</f>
        <v>30000</v>
      </c>
      <c r="T63" s="168">
        <v>0</v>
      </c>
      <c r="U63" s="168"/>
      <c r="V63" s="168"/>
      <c r="W63" s="168">
        <v>802634</v>
      </c>
      <c r="X63" s="168">
        <f t="shared" si="1"/>
        <v>1072634</v>
      </c>
      <c r="Y63" s="169">
        <f t="shared" si="28"/>
        <v>1927366</v>
      </c>
      <c r="Z63" s="169"/>
      <c r="AA63" s="157"/>
      <c r="AB63" s="169">
        <f t="shared" si="8"/>
        <v>1927366</v>
      </c>
      <c r="AC63" s="178" t="s">
        <v>127</v>
      </c>
    </row>
    <row r="64" spans="1:32" ht="16.5" x14ac:dyDescent="0.3">
      <c r="A64" s="218"/>
      <c r="B64" s="166">
        <v>61</v>
      </c>
      <c r="C64" s="167" t="s">
        <v>128</v>
      </c>
      <c r="D64" s="162" t="s">
        <v>32</v>
      </c>
      <c r="E64" s="168">
        <v>3250000</v>
      </c>
      <c r="F64" s="168">
        <v>30</v>
      </c>
      <c r="G64" s="168">
        <f t="shared" si="29"/>
        <v>3250000</v>
      </c>
      <c r="H64" s="168"/>
      <c r="I64" s="168"/>
      <c r="J64" s="168"/>
      <c r="K64" s="168"/>
      <c r="L64" s="168"/>
      <c r="M64" s="168"/>
      <c r="N64" s="168">
        <f t="shared" si="4"/>
        <v>3250000</v>
      </c>
      <c r="O64" s="168">
        <f t="shared" si="24"/>
        <v>130000</v>
      </c>
      <c r="P64" s="168">
        <f t="shared" si="25"/>
        <v>130000</v>
      </c>
      <c r="Q64" s="168"/>
      <c r="R64" s="168"/>
      <c r="S64" s="168">
        <f>+G64*1%</f>
        <v>32500</v>
      </c>
      <c r="T64" s="168">
        <v>0</v>
      </c>
      <c r="U64" s="168"/>
      <c r="V64" s="168"/>
      <c r="W64" s="168"/>
      <c r="X64" s="168">
        <f t="shared" si="1"/>
        <v>292500</v>
      </c>
      <c r="Y64" s="169">
        <f t="shared" si="28"/>
        <v>2957500</v>
      </c>
      <c r="Z64" s="169"/>
      <c r="AA64" s="157"/>
      <c r="AB64" s="169">
        <f t="shared" si="8"/>
        <v>2957500</v>
      </c>
      <c r="AC64" s="170" t="s">
        <v>129</v>
      </c>
      <c r="AD64" s="159" t="s">
        <v>130</v>
      </c>
    </row>
    <row r="65" spans="1:29" ht="16.5" x14ac:dyDescent="0.3">
      <c r="A65" s="218"/>
      <c r="B65" s="166">
        <v>62</v>
      </c>
      <c r="C65" s="167" t="s">
        <v>131</v>
      </c>
      <c r="D65" s="162" t="s">
        <v>32</v>
      </c>
      <c r="E65" s="168">
        <v>2500000</v>
      </c>
      <c r="F65" s="168">
        <v>30</v>
      </c>
      <c r="G65" s="168">
        <f t="shared" si="29"/>
        <v>2500000</v>
      </c>
      <c r="H65" s="168"/>
      <c r="I65" s="168"/>
      <c r="J65" s="168"/>
      <c r="K65" s="168"/>
      <c r="L65" s="168"/>
      <c r="M65" s="168"/>
      <c r="N65" s="168">
        <f t="shared" si="4"/>
        <v>2500000</v>
      </c>
      <c r="O65" s="168">
        <f t="shared" si="24"/>
        <v>100000</v>
      </c>
      <c r="P65" s="168">
        <f t="shared" si="25"/>
        <v>100000</v>
      </c>
      <c r="Q65" s="168"/>
      <c r="R65" s="168"/>
      <c r="S65" s="168"/>
      <c r="T65" s="171">
        <v>0</v>
      </c>
      <c r="U65" s="168"/>
      <c r="V65" s="168"/>
      <c r="W65" s="168"/>
      <c r="X65" s="168">
        <f t="shared" si="1"/>
        <v>200000</v>
      </c>
      <c r="Y65" s="169">
        <f t="shared" si="28"/>
        <v>2300000</v>
      </c>
      <c r="Z65" s="169"/>
      <c r="AA65" s="157"/>
      <c r="AB65" s="169">
        <f t="shared" si="8"/>
        <v>2300000</v>
      </c>
      <c r="AC65" s="170" t="s">
        <v>132</v>
      </c>
    </row>
    <row r="66" spans="1:29" ht="12.75" x14ac:dyDescent="0.25">
      <c r="A66" s="218"/>
      <c r="B66" s="166">
        <v>63</v>
      </c>
      <c r="C66" s="167" t="s">
        <v>133</v>
      </c>
      <c r="D66" s="162" t="s">
        <v>32</v>
      </c>
      <c r="E66" s="168">
        <v>1800000</v>
      </c>
      <c r="F66" s="168">
        <v>30</v>
      </c>
      <c r="G66" s="168">
        <f t="shared" si="29"/>
        <v>1800000</v>
      </c>
      <c r="H66" s="168"/>
      <c r="I66" s="168"/>
      <c r="J66" s="168"/>
      <c r="K66" s="168"/>
      <c r="L66" s="168"/>
      <c r="M66" s="168"/>
      <c r="N66" s="168">
        <f t="shared" si="4"/>
        <v>1800000</v>
      </c>
      <c r="O66" s="168">
        <f t="shared" si="24"/>
        <v>72000</v>
      </c>
      <c r="P66" s="168">
        <f t="shared" si="25"/>
        <v>72000</v>
      </c>
      <c r="Q66" s="168"/>
      <c r="R66" s="168"/>
      <c r="S66" s="168"/>
      <c r="T66" s="171">
        <v>0</v>
      </c>
      <c r="U66" s="168"/>
      <c r="V66" s="168">
        <v>107336</v>
      </c>
      <c r="W66" s="168"/>
      <c r="X66" s="168">
        <f t="shared" si="1"/>
        <v>251336</v>
      </c>
      <c r="Y66" s="169">
        <f t="shared" si="28"/>
        <v>1548664</v>
      </c>
      <c r="Z66" s="169"/>
      <c r="AA66" s="157"/>
      <c r="AB66" s="169">
        <f t="shared" si="8"/>
        <v>1548664</v>
      </c>
      <c r="AC66" s="211" t="s">
        <v>134</v>
      </c>
    </row>
    <row r="67" spans="1:29" ht="16.5" x14ac:dyDescent="0.3">
      <c r="A67" s="218"/>
      <c r="B67" s="166">
        <v>64</v>
      </c>
      <c r="C67" s="167" t="s">
        <v>135</v>
      </c>
      <c r="D67" s="162" t="s">
        <v>32</v>
      </c>
      <c r="E67" s="168">
        <v>1800000</v>
      </c>
      <c r="F67" s="168">
        <v>29</v>
      </c>
      <c r="G67" s="168">
        <f>+E67/30*F67+40002</f>
        <v>1780002</v>
      </c>
      <c r="H67" s="168"/>
      <c r="I67" s="168"/>
      <c r="J67" s="168"/>
      <c r="K67" s="168"/>
      <c r="L67" s="168"/>
      <c r="M67" s="168"/>
      <c r="N67" s="168">
        <f t="shared" si="4"/>
        <v>1780002</v>
      </c>
      <c r="O67" s="168">
        <f t="shared" si="24"/>
        <v>71200.08</v>
      </c>
      <c r="P67" s="168">
        <f t="shared" si="25"/>
        <v>71200.08</v>
      </c>
      <c r="Q67" s="168"/>
      <c r="R67" s="168"/>
      <c r="S67" s="168"/>
      <c r="T67" s="168">
        <v>0</v>
      </c>
      <c r="U67" s="168"/>
      <c r="V67" s="168"/>
      <c r="W67" s="168">
        <v>257196</v>
      </c>
      <c r="X67" s="168">
        <f t="shared" si="1"/>
        <v>399596.16000000003</v>
      </c>
      <c r="Y67" s="169">
        <f t="shared" si="28"/>
        <v>1380405.8399999999</v>
      </c>
      <c r="Z67" s="169"/>
      <c r="AA67" s="157"/>
      <c r="AB67" s="169">
        <f t="shared" si="8"/>
        <v>1380405.8399999999</v>
      </c>
      <c r="AC67" s="170" t="s">
        <v>136</v>
      </c>
    </row>
    <row r="68" spans="1:29" ht="16.5" x14ac:dyDescent="0.3">
      <c r="A68" s="218"/>
      <c r="B68" s="166">
        <v>65</v>
      </c>
      <c r="C68" s="167" t="s">
        <v>137</v>
      </c>
      <c r="D68" s="162"/>
      <c r="E68" s="168">
        <v>1000000</v>
      </c>
      <c r="F68" s="168">
        <v>30</v>
      </c>
      <c r="G68" s="168">
        <f t="shared" ref="G68" si="30">+E68/30*F68</f>
        <v>1000000.0000000001</v>
      </c>
      <c r="H68" s="168">
        <v>77700</v>
      </c>
      <c r="I68" s="168"/>
      <c r="J68" s="168"/>
      <c r="K68" s="168"/>
      <c r="L68" s="168"/>
      <c r="M68" s="168"/>
      <c r="N68" s="168">
        <f t="shared" si="4"/>
        <v>1077700</v>
      </c>
      <c r="O68" s="168">
        <f t="shared" si="24"/>
        <v>40000.000000000007</v>
      </c>
      <c r="P68" s="168">
        <f t="shared" si="25"/>
        <v>40000.000000000007</v>
      </c>
      <c r="Q68" s="168"/>
      <c r="R68" s="168"/>
      <c r="S68" s="168"/>
      <c r="T68" s="168">
        <v>0</v>
      </c>
      <c r="U68" s="168"/>
      <c r="V68" s="168"/>
      <c r="W68" s="168"/>
      <c r="X68" s="168">
        <f t="shared" ref="X68" si="31">SUM(O68:W68)</f>
        <v>80000.000000000015</v>
      </c>
      <c r="Y68" s="169">
        <f t="shared" si="28"/>
        <v>997700</v>
      </c>
      <c r="Z68" s="169"/>
      <c r="AA68" s="157"/>
      <c r="AB68" s="169">
        <f t="shared" si="8"/>
        <v>997700</v>
      </c>
      <c r="AC68" s="170"/>
    </row>
    <row r="69" spans="1:29" ht="16.5" x14ac:dyDescent="0.3">
      <c r="A69" s="218"/>
      <c r="B69" s="166">
        <v>66</v>
      </c>
      <c r="C69" s="167" t="s">
        <v>138</v>
      </c>
      <c r="D69" s="162" t="s">
        <v>32</v>
      </c>
      <c r="E69" s="168">
        <v>4500000</v>
      </c>
      <c r="F69" s="168">
        <v>30</v>
      </c>
      <c r="G69" s="168">
        <f t="shared" si="29"/>
        <v>4500000</v>
      </c>
      <c r="H69" s="168"/>
      <c r="I69" s="168"/>
      <c r="J69" s="168"/>
      <c r="K69" s="168"/>
      <c r="L69" s="168"/>
      <c r="M69" s="168"/>
      <c r="N69" s="168">
        <f t="shared" ref="N69:N85" si="32">SUM(G69:L69)+M69</f>
        <v>4500000</v>
      </c>
      <c r="O69" s="168">
        <f t="shared" si="24"/>
        <v>180000</v>
      </c>
      <c r="P69" s="168">
        <f t="shared" si="25"/>
        <v>180000</v>
      </c>
      <c r="Q69" s="168"/>
      <c r="R69" s="168"/>
      <c r="S69" s="168">
        <v>45000</v>
      </c>
      <c r="T69" s="168">
        <v>73073</v>
      </c>
      <c r="U69" s="168"/>
      <c r="V69" s="168"/>
      <c r="W69" s="168"/>
      <c r="X69" s="168">
        <f t="shared" si="1"/>
        <v>478073</v>
      </c>
      <c r="Y69" s="169">
        <f>N69-X69</f>
        <v>4021927</v>
      </c>
      <c r="Z69" s="169"/>
      <c r="AA69" s="157"/>
      <c r="AB69" s="169">
        <f t="shared" si="8"/>
        <v>4021927</v>
      </c>
      <c r="AC69" s="170" t="s">
        <v>139</v>
      </c>
    </row>
    <row r="70" spans="1:29" ht="25.5" x14ac:dyDescent="0.3">
      <c r="A70" s="218"/>
      <c r="B70" s="166">
        <v>67</v>
      </c>
      <c r="C70" s="167" t="s">
        <v>140</v>
      </c>
      <c r="D70" s="162" t="s">
        <v>32</v>
      </c>
      <c r="E70" s="168">
        <v>1500000</v>
      </c>
      <c r="F70" s="168">
        <v>30</v>
      </c>
      <c r="G70" s="168">
        <f t="shared" si="29"/>
        <v>1500000</v>
      </c>
      <c r="H70" s="168"/>
      <c r="I70" s="168"/>
      <c r="J70" s="168"/>
      <c r="K70" s="168"/>
      <c r="L70" s="168"/>
      <c r="M70" s="168"/>
      <c r="N70" s="168">
        <f t="shared" si="32"/>
        <v>1500000</v>
      </c>
      <c r="O70" s="168">
        <f t="shared" si="24"/>
        <v>60000</v>
      </c>
      <c r="P70" s="168">
        <f t="shared" si="25"/>
        <v>60000</v>
      </c>
      <c r="Q70" s="168"/>
      <c r="R70" s="168"/>
      <c r="S70" s="168"/>
      <c r="T70" s="168">
        <v>0</v>
      </c>
      <c r="U70" s="168"/>
      <c r="V70" s="168"/>
      <c r="W70" s="168"/>
      <c r="X70" s="168">
        <f t="shared" si="1"/>
        <v>120000</v>
      </c>
      <c r="Y70" s="169">
        <f>N70-X70</f>
        <v>1380000</v>
      </c>
      <c r="Z70" s="169"/>
      <c r="AA70" s="157"/>
      <c r="AB70" s="169">
        <f t="shared" si="8"/>
        <v>1380000</v>
      </c>
      <c r="AC70" s="170" t="s">
        <v>141</v>
      </c>
    </row>
    <row r="71" spans="1:29" ht="16.5" x14ac:dyDescent="0.25">
      <c r="A71" s="218"/>
      <c r="B71" s="166">
        <v>68</v>
      </c>
      <c r="C71" s="167" t="s">
        <v>142</v>
      </c>
      <c r="D71" s="162" t="s">
        <v>32</v>
      </c>
      <c r="E71" s="168">
        <v>2500000</v>
      </c>
      <c r="F71" s="168">
        <v>30</v>
      </c>
      <c r="G71" s="168">
        <f t="shared" si="29"/>
        <v>2500000</v>
      </c>
      <c r="H71" s="168"/>
      <c r="I71" s="168"/>
      <c r="J71" s="168"/>
      <c r="K71" s="168"/>
      <c r="L71" s="168"/>
      <c r="M71" s="168"/>
      <c r="N71" s="168">
        <f t="shared" si="32"/>
        <v>2500000</v>
      </c>
      <c r="O71" s="168">
        <f t="shared" si="24"/>
        <v>100000</v>
      </c>
      <c r="P71" s="168">
        <f t="shared" si="25"/>
        <v>100000</v>
      </c>
      <c r="Q71" s="168"/>
      <c r="R71" s="168"/>
      <c r="S71" s="168"/>
      <c r="T71" s="168">
        <v>0</v>
      </c>
      <c r="U71" s="168"/>
      <c r="V71" s="168"/>
      <c r="W71" s="168"/>
      <c r="X71" s="168">
        <f t="shared" si="1"/>
        <v>200000</v>
      </c>
      <c r="Y71" s="169">
        <f>N71-X71</f>
        <v>2300000</v>
      </c>
      <c r="Z71" s="169"/>
      <c r="AA71" s="157"/>
      <c r="AB71" s="169">
        <f t="shared" si="8"/>
        <v>2300000</v>
      </c>
      <c r="AC71" s="173" t="s">
        <v>143</v>
      </c>
    </row>
    <row r="72" spans="1:29" ht="12.75" x14ac:dyDescent="0.25">
      <c r="A72" s="218"/>
      <c r="B72" s="166">
        <v>69</v>
      </c>
      <c r="C72" s="160" t="s">
        <v>144</v>
      </c>
      <c r="D72" s="156" t="s">
        <v>32</v>
      </c>
      <c r="E72" s="168">
        <v>689455</v>
      </c>
      <c r="F72" s="168">
        <v>30</v>
      </c>
      <c r="G72" s="168">
        <f>+E72/30*F72</f>
        <v>689455</v>
      </c>
      <c r="H72" s="168">
        <v>77700</v>
      </c>
      <c r="I72" s="168"/>
      <c r="J72" s="168"/>
      <c r="K72" s="168"/>
      <c r="L72" s="168">
        <v>100000</v>
      </c>
      <c r="M72" s="168"/>
      <c r="N72" s="168">
        <f t="shared" si="32"/>
        <v>867155</v>
      </c>
      <c r="O72" s="168">
        <f t="shared" si="24"/>
        <v>27578.2</v>
      </c>
      <c r="P72" s="168">
        <f t="shared" si="25"/>
        <v>27578.2</v>
      </c>
      <c r="Q72" s="168"/>
      <c r="R72" s="168"/>
      <c r="S72" s="168"/>
      <c r="T72" s="168">
        <v>0</v>
      </c>
      <c r="U72" s="168"/>
      <c r="V72" s="168"/>
      <c r="W72" s="168"/>
      <c r="X72" s="168">
        <f t="shared" si="1"/>
        <v>55156.4</v>
      </c>
      <c r="Y72" s="169">
        <f>N72-X72</f>
        <v>811998.6</v>
      </c>
      <c r="Z72" s="169"/>
      <c r="AA72" s="157"/>
      <c r="AB72" s="169">
        <f t="shared" si="8"/>
        <v>811998.6</v>
      </c>
      <c r="AC72" s="178" t="s">
        <v>145</v>
      </c>
    </row>
    <row r="73" spans="1:29" ht="16.5" x14ac:dyDescent="0.3">
      <c r="A73" s="218"/>
      <c r="B73" s="166">
        <v>70</v>
      </c>
      <c r="C73" s="167" t="s">
        <v>146</v>
      </c>
      <c r="D73" s="162" t="s">
        <v>32</v>
      </c>
      <c r="E73" s="168">
        <v>15400000</v>
      </c>
      <c r="F73" s="168">
        <v>30</v>
      </c>
      <c r="G73" s="168">
        <f t="shared" ref="G73:G79" si="33">+E73/30*F73</f>
        <v>15400000</v>
      </c>
      <c r="H73" s="168"/>
      <c r="I73" s="168"/>
      <c r="J73" s="168"/>
      <c r="K73" s="168"/>
      <c r="L73" s="168">
        <v>600000</v>
      </c>
      <c r="M73" s="168"/>
      <c r="N73" s="168">
        <f t="shared" si="32"/>
        <v>16000000</v>
      </c>
      <c r="O73" s="168">
        <f t="shared" si="24"/>
        <v>616000</v>
      </c>
      <c r="P73" s="168">
        <f t="shared" si="25"/>
        <v>616000</v>
      </c>
      <c r="Q73" s="168">
        <v>102400</v>
      </c>
      <c r="R73" s="168"/>
      <c r="S73" s="168">
        <f>G73*2%</f>
        <v>308000</v>
      </c>
      <c r="T73" s="168">
        <v>1014000</v>
      </c>
      <c r="U73" s="168">
        <v>5000000</v>
      </c>
      <c r="V73" s="168">
        <v>180180</v>
      </c>
      <c r="W73" s="168"/>
      <c r="X73" s="168">
        <f t="shared" si="1"/>
        <v>7836580</v>
      </c>
      <c r="Y73" s="169">
        <f>+N73-X73</f>
        <v>8163420</v>
      </c>
      <c r="Z73" s="169"/>
      <c r="AA73" s="157"/>
      <c r="AB73" s="169">
        <f t="shared" si="8"/>
        <v>8163420</v>
      </c>
      <c r="AC73" s="170" t="s">
        <v>147</v>
      </c>
    </row>
    <row r="74" spans="1:29" ht="12.75" x14ac:dyDescent="0.25">
      <c r="A74" s="218"/>
      <c r="B74" s="166">
        <v>71</v>
      </c>
      <c r="C74" s="167" t="s">
        <v>148</v>
      </c>
      <c r="D74" s="162" t="s">
        <v>32</v>
      </c>
      <c r="E74" s="168">
        <v>4500000</v>
      </c>
      <c r="F74" s="168">
        <v>30</v>
      </c>
      <c r="G74" s="168">
        <f t="shared" si="33"/>
        <v>4500000</v>
      </c>
      <c r="H74" s="168"/>
      <c r="I74" s="168"/>
      <c r="J74" s="168"/>
      <c r="K74" s="168"/>
      <c r="L74" s="168"/>
      <c r="M74" s="168"/>
      <c r="N74" s="168">
        <f t="shared" si="32"/>
        <v>4500000</v>
      </c>
      <c r="O74" s="168">
        <f t="shared" si="24"/>
        <v>180000</v>
      </c>
      <c r="P74" s="168">
        <f t="shared" si="25"/>
        <v>180000</v>
      </c>
      <c r="Q74" s="168"/>
      <c r="R74" s="168"/>
      <c r="S74" s="168">
        <f>+G74*1%</f>
        <v>45000</v>
      </c>
      <c r="T74" s="168">
        <v>90000</v>
      </c>
      <c r="U74" s="168"/>
      <c r="V74" s="168">
        <v>420420</v>
      </c>
      <c r="W74" s="168">
        <f>887544</f>
        <v>887544</v>
      </c>
      <c r="X74" s="168">
        <f>SUM(O74:W74)</f>
        <v>1802964</v>
      </c>
      <c r="Y74" s="169">
        <f>+N74-X74</f>
        <v>2697036</v>
      </c>
      <c r="Z74" s="169"/>
      <c r="AA74" s="157"/>
      <c r="AB74" s="169">
        <f t="shared" si="8"/>
        <v>2697036</v>
      </c>
      <c r="AC74" s="178" t="s">
        <v>149</v>
      </c>
    </row>
    <row r="75" spans="1:29" ht="13.5" x14ac:dyDescent="0.25">
      <c r="A75" s="218"/>
      <c r="B75" s="166">
        <v>72</v>
      </c>
      <c r="C75" s="167" t="s">
        <v>150</v>
      </c>
      <c r="D75" s="162" t="s">
        <v>32</v>
      </c>
      <c r="E75" s="168">
        <v>1000000</v>
      </c>
      <c r="F75" s="168">
        <v>30</v>
      </c>
      <c r="G75" s="168">
        <f t="shared" si="33"/>
        <v>1000000.0000000001</v>
      </c>
      <c r="H75" s="168">
        <v>77700</v>
      </c>
      <c r="I75" s="168"/>
      <c r="J75" s="168"/>
      <c r="K75" s="168"/>
      <c r="L75" s="168"/>
      <c r="M75" s="168"/>
      <c r="N75" s="168">
        <f t="shared" si="32"/>
        <v>1077700</v>
      </c>
      <c r="O75" s="168">
        <f t="shared" si="24"/>
        <v>40000.000000000007</v>
      </c>
      <c r="P75" s="168">
        <f t="shared" si="25"/>
        <v>40000.000000000007</v>
      </c>
      <c r="Q75" s="168"/>
      <c r="R75" s="168"/>
      <c r="S75" s="168"/>
      <c r="T75" s="168">
        <v>0</v>
      </c>
      <c r="U75" s="168"/>
      <c r="V75" s="168"/>
      <c r="W75" s="168"/>
      <c r="X75" s="168">
        <f t="shared" si="1"/>
        <v>80000.000000000015</v>
      </c>
      <c r="Y75" s="169">
        <f>+N75-X75</f>
        <v>997700</v>
      </c>
      <c r="Z75" s="169"/>
      <c r="AA75" s="157"/>
      <c r="AB75" s="169">
        <f t="shared" si="8"/>
        <v>997700</v>
      </c>
      <c r="AC75" s="180" t="s">
        <v>151</v>
      </c>
    </row>
    <row r="76" spans="1:29" ht="16.5" x14ac:dyDescent="0.3">
      <c r="A76" s="218"/>
      <c r="B76" s="166">
        <v>73</v>
      </c>
      <c r="C76" s="160" t="s">
        <v>152</v>
      </c>
      <c r="D76" s="156" t="s">
        <v>32</v>
      </c>
      <c r="E76" s="168">
        <v>1500000</v>
      </c>
      <c r="F76" s="168">
        <v>30</v>
      </c>
      <c r="G76" s="168">
        <f t="shared" si="33"/>
        <v>1500000</v>
      </c>
      <c r="H76" s="168"/>
      <c r="I76" s="168"/>
      <c r="J76" s="168"/>
      <c r="K76" s="168"/>
      <c r="L76" s="168"/>
      <c r="M76" s="168"/>
      <c r="N76" s="168">
        <f t="shared" si="32"/>
        <v>1500000</v>
      </c>
      <c r="O76" s="168">
        <f t="shared" si="24"/>
        <v>60000</v>
      </c>
      <c r="P76" s="168">
        <f t="shared" si="25"/>
        <v>60000</v>
      </c>
      <c r="Q76" s="168"/>
      <c r="R76" s="168"/>
      <c r="S76" s="168"/>
      <c r="T76" s="168">
        <v>0</v>
      </c>
      <c r="U76" s="168"/>
      <c r="V76" s="168"/>
      <c r="W76" s="168"/>
      <c r="X76" s="168">
        <f t="shared" si="1"/>
        <v>120000</v>
      </c>
      <c r="Y76" s="169">
        <f>N76-X76</f>
        <v>1380000</v>
      </c>
      <c r="Z76" s="169"/>
      <c r="AA76" s="157"/>
      <c r="AB76" s="169">
        <f t="shared" si="8"/>
        <v>1380000</v>
      </c>
      <c r="AC76" s="170" t="s">
        <v>153</v>
      </c>
    </row>
    <row r="77" spans="1:29" ht="16.5" x14ac:dyDescent="0.3">
      <c r="A77" s="218"/>
      <c r="B77" s="166">
        <v>74</v>
      </c>
      <c r="C77" s="167" t="s">
        <v>154</v>
      </c>
      <c r="D77" s="162" t="s">
        <v>105</v>
      </c>
      <c r="E77" s="168">
        <v>1400000</v>
      </c>
      <c r="F77" s="168">
        <v>30</v>
      </c>
      <c r="G77" s="168">
        <f t="shared" si="33"/>
        <v>1400000</v>
      </c>
      <c r="H77" s="168"/>
      <c r="I77" s="168"/>
      <c r="J77" s="168"/>
      <c r="K77" s="168"/>
      <c r="L77" s="168"/>
      <c r="M77" s="168"/>
      <c r="N77" s="168">
        <f t="shared" si="32"/>
        <v>1400000</v>
      </c>
      <c r="O77" s="168">
        <f t="shared" si="24"/>
        <v>56000</v>
      </c>
      <c r="P77" s="168">
        <f t="shared" si="25"/>
        <v>56000</v>
      </c>
      <c r="Q77" s="168"/>
      <c r="R77" s="168"/>
      <c r="S77" s="168"/>
      <c r="T77" s="171"/>
      <c r="U77" s="168"/>
      <c r="V77" s="168"/>
      <c r="W77" s="168"/>
      <c r="X77" s="168">
        <f t="shared" ref="X77" si="34">SUM(O77:W77)</f>
        <v>112000</v>
      </c>
      <c r="Y77" s="169">
        <f t="shared" ref="Y77" si="35">+N77-X77</f>
        <v>1288000</v>
      </c>
      <c r="Z77" s="169"/>
      <c r="AA77" s="157"/>
      <c r="AB77" s="169">
        <f t="shared" si="8"/>
        <v>1288000</v>
      </c>
      <c r="AC77" s="170"/>
    </row>
    <row r="78" spans="1:29" ht="16.5" x14ac:dyDescent="0.3">
      <c r="A78" s="218"/>
      <c r="B78" s="166">
        <v>75</v>
      </c>
      <c r="C78" s="167" t="s">
        <v>155</v>
      </c>
      <c r="D78" s="162" t="s">
        <v>32</v>
      </c>
      <c r="E78" s="168">
        <v>1300000</v>
      </c>
      <c r="F78" s="168">
        <v>30</v>
      </c>
      <c r="G78" s="168">
        <f t="shared" si="33"/>
        <v>1300000</v>
      </c>
      <c r="H78" s="168">
        <v>77700</v>
      </c>
      <c r="I78" s="168"/>
      <c r="J78" s="168"/>
      <c r="K78" s="168"/>
      <c r="L78" s="168"/>
      <c r="M78" s="168"/>
      <c r="N78" s="168">
        <f t="shared" si="32"/>
        <v>1377700</v>
      </c>
      <c r="O78" s="168">
        <f t="shared" si="24"/>
        <v>52000</v>
      </c>
      <c r="P78" s="168">
        <f t="shared" si="25"/>
        <v>52000</v>
      </c>
      <c r="Q78" s="168"/>
      <c r="R78" s="168"/>
      <c r="S78" s="168"/>
      <c r="T78" s="168">
        <v>0</v>
      </c>
      <c r="U78" s="168"/>
      <c r="V78" s="168"/>
      <c r="W78" s="168"/>
      <c r="X78" s="168">
        <f t="shared" si="1"/>
        <v>104000</v>
      </c>
      <c r="Y78" s="169">
        <f>+N78-X78</f>
        <v>1273700</v>
      </c>
      <c r="Z78" s="169"/>
      <c r="AA78" s="157"/>
      <c r="AB78" s="169">
        <f t="shared" si="8"/>
        <v>1273700</v>
      </c>
      <c r="AC78" s="170" t="s">
        <v>156</v>
      </c>
    </row>
    <row r="79" spans="1:29" ht="13.5" x14ac:dyDescent="0.25">
      <c r="A79" s="218"/>
      <c r="B79" s="166">
        <v>76</v>
      </c>
      <c r="C79" s="167" t="s">
        <v>157</v>
      </c>
      <c r="D79" s="162" t="s">
        <v>32</v>
      </c>
      <c r="E79" s="168">
        <v>4000000</v>
      </c>
      <c r="F79" s="168">
        <v>30</v>
      </c>
      <c r="G79" s="168">
        <f t="shared" si="33"/>
        <v>4000000.0000000005</v>
      </c>
      <c r="H79" s="168"/>
      <c r="I79" s="168"/>
      <c r="J79" s="168"/>
      <c r="K79" s="168"/>
      <c r="L79" s="168"/>
      <c r="M79" s="168"/>
      <c r="N79" s="168">
        <f t="shared" si="32"/>
        <v>4000000.0000000005</v>
      </c>
      <c r="O79" s="168">
        <f t="shared" si="24"/>
        <v>160000.00000000003</v>
      </c>
      <c r="P79" s="168">
        <f t="shared" si="25"/>
        <v>160000.00000000003</v>
      </c>
      <c r="Q79" s="168"/>
      <c r="R79" s="168"/>
      <c r="S79" s="168">
        <v>40000</v>
      </c>
      <c r="T79" s="168">
        <v>31064</v>
      </c>
      <c r="U79" s="168"/>
      <c r="V79" s="168">
        <v>107336</v>
      </c>
      <c r="W79" s="168"/>
      <c r="X79" s="168">
        <f t="shared" si="1"/>
        <v>498400.00000000006</v>
      </c>
      <c r="Y79" s="169">
        <f>+N79-X79</f>
        <v>3501600.0000000005</v>
      </c>
      <c r="Z79" s="169"/>
      <c r="AA79" s="157"/>
      <c r="AB79" s="169">
        <f t="shared" si="8"/>
        <v>3501600.0000000005</v>
      </c>
      <c r="AC79" s="177" t="s">
        <v>158</v>
      </c>
    </row>
    <row r="80" spans="1:29" ht="16.5" x14ac:dyDescent="0.3">
      <c r="A80" s="218"/>
      <c r="B80" s="166">
        <v>77</v>
      </c>
      <c r="C80" s="160" t="s">
        <v>159</v>
      </c>
      <c r="D80" s="156" t="s">
        <v>32</v>
      </c>
      <c r="E80" s="168">
        <v>1300000</v>
      </c>
      <c r="F80" s="168">
        <v>30</v>
      </c>
      <c r="G80" s="168">
        <f>+E80/30*F80</f>
        <v>1300000</v>
      </c>
      <c r="H80" s="168">
        <v>77700</v>
      </c>
      <c r="I80" s="168"/>
      <c r="J80" s="168"/>
      <c r="K80" s="168"/>
      <c r="L80" s="168"/>
      <c r="M80" s="168"/>
      <c r="N80" s="168">
        <f t="shared" si="32"/>
        <v>1377700</v>
      </c>
      <c r="O80" s="168">
        <f t="shared" si="24"/>
        <v>52000</v>
      </c>
      <c r="P80" s="168">
        <f t="shared" si="25"/>
        <v>52000</v>
      </c>
      <c r="Q80" s="168"/>
      <c r="R80" s="168"/>
      <c r="S80" s="168"/>
      <c r="T80" s="168">
        <v>0</v>
      </c>
      <c r="U80" s="168"/>
      <c r="V80" s="168"/>
      <c r="W80" s="168">
        <v>249127</v>
      </c>
      <c r="X80" s="168">
        <f t="shared" si="1"/>
        <v>353127</v>
      </c>
      <c r="Y80" s="169">
        <f>N80-X80</f>
        <v>1024573</v>
      </c>
      <c r="Z80" s="169"/>
      <c r="AA80" s="157"/>
      <c r="AB80" s="169">
        <f t="shared" si="8"/>
        <v>1024573</v>
      </c>
      <c r="AC80" s="170" t="s">
        <v>160</v>
      </c>
    </row>
    <row r="81" spans="1:33" ht="16.5" x14ac:dyDescent="0.3">
      <c r="A81" s="218"/>
      <c r="B81" s="166">
        <v>78</v>
      </c>
      <c r="C81" s="167" t="s">
        <v>161</v>
      </c>
      <c r="D81" s="162" t="s">
        <v>32</v>
      </c>
      <c r="E81" s="168">
        <v>689455</v>
      </c>
      <c r="F81" s="168">
        <v>30</v>
      </c>
      <c r="G81" s="168">
        <f>+E81/30*F81</f>
        <v>689455</v>
      </c>
      <c r="H81" s="168">
        <v>77700</v>
      </c>
      <c r="I81" s="168"/>
      <c r="J81" s="168"/>
      <c r="K81" s="168"/>
      <c r="L81" s="168"/>
      <c r="M81" s="168"/>
      <c r="N81" s="168">
        <f t="shared" si="32"/>
        <v>767155</v>
      </c>
      <c r="O81" s="168">
        <f t="shared" si="24"/>
        <v>27578.2</v>
      </c>
      <c r="P81" s="168">
        <f t="shared" si="25"/>
        <v>27578.2</v>
      </c>
      <c r="Q81" s="168"/>
      <c r="R81" s="168"/>
      <c r="S81" s="168"/>
      <c r="T81" s="168">
        <v>0</v>
      </c>
      <c r="U81" s="168"/>
      <c r="V81" s="168"/>
      <c r="W81" s="168"/>
      <c r="X81" s="168">
        <f>SUM(O81:W81)</f>
        <v>55156.4</v>
      </c>
      <c r="Y81" s="169">
        <f>+N81-X81</f>
        <v>711998.6</v>
      </c>
      <c r="Z81" s="169"/>
      <c r="AA81" s="157"/>
      <c r="AB81" s="169">
        <f t="shared" si="8"/>
        <v>711998.6</v>
      </c>
      <c r="AC81" s="170" t="s">
        <v>162</v>
      </c>
    </row>
    <row r="82" spans="1:33" ht="16.5" x14ac:dyDescent="0.3">
      <c r="A82" s="218"/>
      <c r="B82" s="166">
        <v>79</v>
      </c>
      <c r="C82" s="209" t="s">
        <v>163</v>
      </c>
      <c r="D82" s="162" t="s">
        <v>32</v>
      </c>
      <c r="E82" s="168">
        <v>800000</v>
      </c>
      <c r="F82" s="168">
        <v>30</v>
      </c>
      <c r="G82" s="168">
        <f>E82</f>
        <v>800000</v>
      </c>
      <c r="H82" s="168">
        <v>77700</v>
      </c>
      <c r="I82" s="168"/>
      <c r="J82" s="168"/>
      <c r="K82" s="168"/>
      <c r="L82" s="168"/>
      <c r="M82" s="168"/>
      <c r="N82" s="168">
        <f t="shared" si="32"/>
        <v>877700</v>
      </c>
      <c r="O82" s="168">
        <f t="shared" si="24"/>
        <v>32000</v>
      </c>
      <c r="P82" s="168">
        <f t="shared" si="25"/>
        <v>32000</v>
      </c>
      <c r="Q82" s="168"/>
      <c r="R82" s="168"/>
      <c r="S82" s="168"/>
      <c r="T82" s="168">
        <v>0</v>
      </c>
      <c r="U82" s="168"/>
      <c r="V82" s="168"/>
      <c r="W82" s="168"/>
      <c r="X82" s="168">
        <f>SUM(O82:W82)</f>
        <v>64000</v>
      </c>
      <c r="Y82" s="169">
        <f>+N82-X82</f>
        <v>813700</v>
      </c>
      <c r="Z82" s="169"/>
      <c r="AA82" s="157"/>
      <c r="AB82" s="169">
        <f t="shared" si="8"/>
        <v>813700</v>
      </c>
      <c r="AC82" s="170" t="s">
        <v>164</v>
      </c>
    </row>
    <row r="83" spans="1:33" ht="16.5" x14ac:dyDescent="0.3">
      <c r="A83" s="181"/>
      <c r="B83" s="166">
        <v>80</v>
      </c>
      <c r="C83" s="167" t="s">
        <v>165</v>
      </c>
      <c r="D83" s="162" t="s">
        <v>32</v>
      </c>
      <c r="E83" s="168">
        <v>1300000</v>
      </c>
      <c r="F83" s="168">
        <v>30</v>
      </c>
      <c r="G83" s="168">
        <f t="shared" ref="G83:G85" si="36">+E83/30*F83</f>
        <v>1300000</v>
      </c>
      <c r="H83" s="168">
        <v>77700</v>
      </c>
      <c r="I83" s="168"/>
      <c r="J83" s="168"/>
      <c r="K83" s="168"/>
      <c r="L83" s="168"/>
      <c r="M83" s="168"/>
      <c r="N83" s="168">
        <f t="shared" si="32"/>
        <v>1377700</v>
      </c>
      <c r="O83" s="168">
        <f t="shared" si="24"/>
        <v>52000</v>
      </c>
      <c r="P83" s="168">
        <f t="shared" si="25"/>
        <v>52000</v>
      </c>
      <c r="Q83" s="168"/>
      <c r="R83" s="168"/>
      <c r="S83" s="168"/>
      <c r="T83" s="168"/>
      <c r="U83" s="168"/>
      <c r="V83" s="168"/>
      <c r="W83" s="168"/>
      <c r="X83" s="168">
        <f t="shared" ref="X83:X84" si="37">SUM(O83:W83)</f>
        <v>104000</v>
      </c>
      <c r="Y83" s="169">
        <f t="shared" ref="Y83" si="38">+N83-X83</f>
        <v>1273700</v>
      </c>
      <c r="Z83" s="169"/>
      <c r="AA83" s="157"/>
      <c r="AB83" s="169">
        <f t="shared" si="8"/>
        <v>1273700</v>
      </c>
      <c r="AC83" s="170"/>
    </row>
    <row r="84" spans="1:33" ht="15" x14ac:dyDescent="0.25">
      <c r="A84" s="181"/>
      <c r="B84" s="166">
        <v>81</v>
      </c>
      <c r="C84" s="209" t="s">
        <v>166</v>
      </c>
      <c r="D84" s="165" t="s">
        <v>32</v>
      </c>
      <c r="E84" s="168">
        <v>2500000</v>
      </c>
      <c r="F84" s="168">
        <v>30</v>
      </c>
      <c r="G84" s="168">
        <f t="shared" si="36"/>
        <v>2500000</v>
      </c>
      <c r="H84" s="168"/>
      <c r="I84" s="168"/>
      <c r="J84" s="168"/>
      <c r="K84" s="168"/>
      <c r="L84" s="168"/>
      <c r="M84" s="168"/>
      <c r="N84" s="168">
        <f t="shared" si="32"/>
        <v>2500000</v>
      </c>
      <c r="O84" s="168">
        <f t="shared" si="24"/>
        <v>100000</v>
      </c>
      <c r="P84" s="168">
        <f t="shared" si="25"/>
        <v>100000</v>
      </c>
      <c r="Q84" s="168"/>
      <c r="R84" s="168"/>
      <c r="S84" s="168"/>
      <c r="T84" s="168">
        <v>0</v>
      </c>
      <c r="U84" s="168"/>
      <c r="V84" s="168"/>
      <c r="W84" s="168"/>
      <c r="X84" s="168">
        <f t="shared" si="37"/>
        <v>200000</v>
      </c>
      <c r="Y84" s="169">
        <f>N84-X84</f>
        <v>2300000</v>
      </c>
      <c r="Z84" s="169"/>
      <c r="AA84" s="157"/>
      <c r="AB84" s="169">
        <f t="shared" si="8"/>
        <v>2300000</v>
      </c>
      <c r="AC84" s="210" t="s">
        <v>167</v>
      </c>
    </row>
    <row r="85" spans="1:33" ht="18" x14ac:dyDescent="0.25">
      <c r="A85" s="181"/>
      <c r="B85" s="166">
        <v>82</v>
      </c>
      <c r="C85" s="209" t="s">
        <v>168</v>
      </c>
      <c r="D85" s="165" t="s">
        <v>32</v>
      </c>
      <c r="E85" s="168">
        <v>689455</v>
      </c>
      <c r="F85" s="168">
        <v>30</v>
      </c>
      <c r="G85" s="168">
        <f t="shared" si="36"/>
        <v>689455</v>
      </c>
      <c r="H85" s="168"/>
      <c r="I85" s="168"/>
      <c r="J85" s="168"/>
      <c r="K85" s="168"/>
      <c r="L85" s="168"/>
      <c r="M85" s="168"/>
      <c r="N85" s="168">
        <f t="shared" si="32"/>
        <v>689455</v>
      </c>
      <c r="O85" s="168"/>
      <c r="P85" s="168"/>
      <c r="Q85" s="168"/>
      <c r="R85" s="168"/>
      <c r="S85" s="168"/>
      <c r="T85" s="168">
        <v>0</v>
      </c>
      <c r="U85" s="168"/>
      <c r="V85" s="168"/>
      <c r="W85" s="168"/>
      <c r="X85" s="168">
        <f t="shared" ref="X85" si="39">SUM(O85:W85)</f>
        <v>0</v>
      </c>
      <c r="Y85" s="169">
        <f>N85-X85</f>
        <v>689455</v>
      </c>
      <c r="Z85" s="169"/>
      <c r="AA85" s="157"/>
      <c r="AB85" s="169">
        <f t="shared" ref="AB85" si="40">Y85+Z85-AA85</f>
        <v>689455</v>
      </c>
      <c r="AC85" s="210"/>
    </row>
    <row r="86" spans="1:33" ht="12.75" x14ac:dyDescent="0.25">
      <c r="A86" s="156"/>
      <c r="B86" s="166"/>
      <c r="C86" s="167" t="s">
        <v>169</v>
      </c>
      <c r="D86" s="156"/>
      <c r="E86" s="168">
        <f>SUM(E4:E85)</f>
        <v>272918801</v>
      </c>
      <c r="F86" s="168" t="s">
        <v>1</v>
      </c>
      <c r="G86" s="168">
        <f>SUM(G4:G85)</f>
        <v>271272138.66666663</v>
      </c>
      <c r="H86" s="168">
        <f>SUM(H5:H82)</f>
        <v>1010100</v>
      </c>
      <c r="I86" s="168">
        <f>SUM(I5:I82)</f>
        <v>0</v>
      </c>
      <c r="J86" s="168">
        <f>SUM(J5:J82)</f>
        <v>0</v>
      </c>
      <c r="K86" s="168"/>
      <c r="L86" s="168">
        <f t="shared" ref="L86:Q86" si="41">SUM(L5:L82)</f>
        <v>10132987</v>
      </c>
      <c r="M86" s="168">
        <f>SUM(M4:M85)</f>
        <v>0</v>
      </c>
      <c r="N86" s="168">
        <f t="shared" si="41"/>
        <v>273425770.66666669</v>
      </c>
      <c r="O86" s="168">
        <f t="shared" si="41"/>
        <v>10422361.906666664</v>
      </c>
      <c r="P86" s="168">
        <f t="shared" si="41"/>
        <v>10422361.906666664</v>
      </c>
      <c r="Q86" s="168">
        <f t="shared" si="41"/>
        <v>102400</v>
      </c>
      <c r="R86" s="168">
        <f>SUM(R7:R82)</f>
        <v>0</v>
      </c>
      <c r="S86" s="168">
        <f t="shared" ref="S86:AA86" si="42">SUM(S5:S82)</f>
        <v>2339268</v>
      </c>
      <c r="T86" s="168">
        <f t="shared" si="42"/>
        <v>4032798</v>
      </c>
      <c r="U86" s="168">
        <f t="shared" si="42"/>
        <v>8100000</v>
      </c>
      <c r="V86" s="168">
        <f t="shared" si="42"/>
        <v>3438887</v>
      </c>
      <c r="W86" s="168">
        <f t="shared" si="42"/>
        <v>4551679</v>
      </c>
      <c r="X86" s="168">
        <f t="shared" si="42"/>
        <v>43409755.813333333</v>
      </c>
      <c r="Y86" s="169">
        <f>SUM(Y4:Y85)</f>
        <v>238275417.85333332</v>
      </c>
      <c r="Z86" s="169">
        <f t="shared" si="42"/>
        <v>0</v>
      </c>
      <c r="AA86" s="157">
        <f t="shared" si="42"/>
        <v>0</v>
      </c>
      <c r="AB86" s="169">
        <f>SUM(AB4:AB85)</f>
        <v>238275417.85333332</v>
      </c>
      <c r="AC86" s="182"/>
    </row>
    <row r="87" spans="1:33" x14ac:dyDescent="0.25">
      <c r="E87" s="184"/>
      <c r="F87" s="184"/>
      <c r="G87" s="184"/>
      <c r="Y87" s="186"/>
      <c r="Z87" s="186"/>
      <c r="AB87" s="186"/>
    </row>
    <row r="88" spans="1:33" ht="12.75" x14ac:dyDescent="0.25">
      <c r="D88" s="188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9"/>
      <c r="Z88" s="188"/>
      <c r="AA88" s="190"/>
      <c r="AB88" s="189"/>
      <c r="AC88" s="191"/>
    </row>
    <row r="89" spans="1:33" ht="12.75" x14ac:dyDescent="0.25">
      <c r="D89" s="188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8"/>
      <c r="Z89" s="188"/>
      <c r="AA89" s="190"/>
      <c r="AB89" s="189"/>
      <c r="AC89" s="192"/>
    </row>
    <row r="90" spans="1:33" x14ac:dyDescent="0.25">
      <c r="C90" s="191"/>
      <c r="D90" s="188">
        <v>1300000</v>
      </c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8"/>
      <c r="Z90" s="188"/>
      <c r="AA90" s="190"/>
      <c r="AB90" s="193"/>
      <c r="AC90" s="191"/>
    </row>
    <row r="91" spans="1:33" x14ac:dyDescent="0.25">
      <c r="C91" s="191"/>
      <c r="D91" s="188">
        <v>800000</v>
      </c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8"/>
      <c r="Z91" s="188"/>
      <c r="AA91" s="190"/>
      <c r="AB91" s="188"/>
      <c r="AC91" s="191"/>
      <c r="AD91" s="188"/>
      <c r="AE91" s="188"/>
      <c r="AF91" s="188"/>
      <c r="AG91" s="188"/>
    </row>
    <row r="92" spans="1:33" x14ac:dyDescent="0.25">
      <c r="B92" s="188"/>
      <c r="C92" s="191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8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88"/>
      <c r="AE92" s="188"/>
      <c r="AF92" s="188"/>
      <c r="AG92" s="188"/>
    </row>
    <row r="93" spans="1:33" x14ac:dyDescent="0.25">
      <c r="B93" s="188"/>
      <c r="C93" s="191"/>
      <c r="D93" s="188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8"/>
      <c r="Z93" s="188"/>
      <c r="AA93" s="190"/>
      <c r="AB93" s="188"/>
      <c r="AC93" s="191"/>
      <c r="AD93" s="188"/>
      <c r="AE93" s="188"/>
      <c r="AF93" s="188"/>
      <c r="AG93" s="188"/>
    </row>
    <row r="94" spans="1:33" x14ac:dyDescent="0.25">
      <c r="B94" s="188"/>
      <c r="C94" s="191"/>
      <c r="D94" s="188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8"/>
      <c r="Z94" s="188"/>
      <c r="AA94" s="190"/>
      <c r="AB94" s="188"/>
      <c r="AC94" s="191"/>
      <c r="AD94" s="188"/>
      <c r="AE94" s="188"/>
      <c r="AF94" s="188"/>
      <c r="AG94" s="188"/>
    </row>
    <row r="95" spans="1:33" x14ac:dyDescent="0.25">
      <c r="B95" s="188"/>
      <c r="C95" s="191"/>
      <c r="D95" s="188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8"/>
      <c r="Z95" s="188"/>
      <c r="AA95" s="190"/>
      <c r="AB95" s="188"/>
      <c r="AC95" s="191"/>
      <c r="AD95" s="188"/>
      <c r="AE95" s="188"/>
      <c r="AF95" s="188"/>
      <c r="AG95" s="188"/>
    </row>
    <row r="96" spans="1:33" x14ac:dyDescent="0.25">
      <c r="B96" s="188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6"/>
      <c r="AA96" s="197"/>
      <c r="AB96" s="196"/>
      <c r="AC96" s="198"/>
      <c r="AD96" s="188"/>
      <c r="AE96" s="188"/>
      <c r="AF96" s="188"/>
      <c r="AG96" s="188"/>
    </row>
    <row r="97" spans="2:33" x14ac:dyDescent="0.25">
      <c r="B97" s="199"/>
      <c r="C97" s="191"/>
      <c r="D97" s="196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196"/>
      <c r="Z97" s="196"/>
      <c r="AA97" s="197"/>
      <c r="AB97" s="196"/>
      <c r="AC97" s="198"/>
      <c r="AD97" s="188"/>
      <c r="AE97" s="188"/>
      <c r="AF97" s="188"/>
      <c r="AG97" s="188"/>
    </row>
    <row r="98" spans="2:33" x14ac:dyDescent="0.25">
      <c r="B98" s="188"/>
      <c r="C98" s="191"/>
      <c r="D98" s="188"/>
      <c r="E98" s="184"/>
      <c r="F98" s="184"/>
      <c r="G98" s="201"/>
      <c r="H98" s="184"/>
      <c r="I98" s="184"/>
      <c r="J98" s="184"/>
      <c r="K98" s="184"/>
      <c r="L98" s="184"/>
      <c r="M98" s="184"/>
      <c r="N98" s="184"/>
      <c r="O98" s="184"/>
      <c r="P98" s="184"/>
      <c r="Q98" s="202"/>
      <c r="R98" s="202"/>
      <c r="S98" s="202"/>
      <c r="T98" s="202"/>
      <c r="U98" s="202"/>
      <c r="V98" s="202"/>
      <c r="W98" s="184"/>
      <c r="X98" s="184"/>
      <c r="Y98" s="188"/>
      <c r="Z98" s="188"/>
      <c r="AA98" s="190"/>
      <c r="AB98" s="188"/>
      <c r="AC98" s="191"/>
      <c r="AD98" s="188"/>
      <c r="AE98" s="188"/>
      <c r="AF98" s="188"/>
      <c r="AG98" s="188"/>
    </row>
    <row r="99" spans="2:33" x14ac:dyDescent="0.25">
      <c r="B99" s="188"/>
      <c r="C99" s="198"/>
      <c r="D99" s="196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196"/>
      <c r="Z99" s="196"/>
      <c r="AA99" s="197"/>
      <c r="AB99" s="196"/>
      <c r="AC99" s="198"/>
      <c r="AD99" s="188"/>
      <c r="AE99" s="188"/>
      <c r="AF99" s="188"/>
      <c r="AG99" s="188"/>
    </row>
    <row r="100" spans="2:33" x14ac:dyDescent="0.25">
      <c r="B100" s="196"/>
      <c r="C100" s="198"/>
      <c r="D100" s="196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196"/>
      <c r="Z100" s="196"/>
      <c r="AA100" s="197"/>
      <c r="AB100" s="196"/>
      <c r="AC100" s="198"/>
      <c r="AD100" s="188"/>
      <c r="AE100" s="188"/>
      <c r="AF100" s="188"/>
      <c r="AG100" s="188"/>
    </row>
    <row r="101" spans="2:33" x14ac:dyDescent="0.25">
      <c r="B101" s="188"/>
      <c r="C101" s="198"/>
      <c r="D101" s="196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93"/>
      <c r="Z101" s="193"/>
      <c r="AA101" s="190"/>
      <c r="AB101" s="193"/>
      <c r="AC101" s="192"/>
      <c r="AD101" s="188"/>
      <c r="AE101" s="188"/>
      <c r="AF101" s="188"/>
      <c r="AG101" s="188"/>
    </row>
    <row r="102" spans="2:33" x14ac:dyDescent="0.25">
      <c r="C102" s="198"/>
      <c r="D102" s="196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93"/>
      <c r="Z102" s="193"/>
      <c r="AA102" s="190"/>
      <c r="AB102" s="193"/>
      <c r="AC102" s="192"/>
      <c r="AD102" s="188"/>
      <c r="AE102" s="188"/>
      <c r="AF102" s="188"/>
      <c r="AG102" s="188"/>
    </row>
    <row r="103" spans="2:33" x14ac:dyDescent="0.25">
      <c r="C103" s="198"/>
      <c r="D103" s="196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93"/>
      <c r="Z103" s="193"/>
      <c r="AA103" s="190"/>
      <c r="AB103" s="193"/>
      <c r="AC103" s="192"/>
      <c r="AD103" s="188"/>
      <c r="AE103" s="188"/>
      <c r="AF103" s="188"/>
      <c r="AG103" s="188"/>
    </row>
    <row r="104" spans="2:33" x14ac:dyDescent="0.25">
      <c r="C104" s="198"/>
      <c r="D104" s="196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93"/>
      <c r="Z104" s="193"/>
      <c r="AA104" s="190"/>
      <c r="AB104" s="193"/>
      <c r="AC104" s="192"/>
      <c r="AD104" s="188"/>
      <c r="AE104" s="188"/>
      <c r="AF104" s="188"/>
      <c r="AG104" s="188"/>
    </row>
    <row r="105" spans="2:33" x14ac:dyDescent="0.25">
      <c r="C105" s="198"/>
      <c r="D105" s="196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93"/>
      <c r="Z105" s="193"/>
      <c r="AA105" s="190"/>
      <c r="AB105" s="193"/>
      <c r="AC105" s="192"/>
      <c r="AD105" s="188"/>
      <c r="AE105" s="188"/>
      <c r="AF105" s="188"/>
      <c r="AG105" s="188"/>
    </row>
    <row r="106" spans="2:33" x14ac:dyDescent="0.25">
      <c r="C106" s="198"/>
      <c r="D106" s="196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93"/>
      <c r="Z106" s="193"/>
      <c r="AA106" s="190"/>
      <c r="AB106" s="193"/>
      <c r="AC106" s="192"/>
      <c r="AD106" s="188"/>
      <c r="AE106" s="188"/>
      <c r="AF106" s="188"/>
      <c r="AG106" s="188"/>
    </row>
    <row r="107" spans="2:33" x14ac:dyDescent="0.25">
      <c r="C107" s="191"/>
      <c r="D107" s="188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93"/>
      <c r="Z107" s="193"/>
      <c r="AA107" s="190"/>
      <c r="AB107" s="193"/>
      <c r="AC107" s="192"/>
      <c r="AD107" s="188"/>
      <c r="AE107" s="188"/>
      <c r="AF107" s="188"/>
      <c r="AG107" s="188"/>
    </row>
    <row r="108" spans="2:33" x14ac:dyDescent="0.25">
      <c r="C108" s="198"/>
      <c r="D108" s="188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93"/>
      <c r="Z108" s="193"/>
      <c r="AA108" s="190"/>
      <c r="AB108" s="193"/>
      <c r="AC108" s="192"/>
      <c r="AD108" s="188"/>
      <c r="AE108" s="188"/>
      <c r="AF108" s="188"/>
      <c r="AG108" s="188"/>
    </row>
    <row r="109" spans="2:33" x14ac:dyDescent="0.25">
      <c r="C109" s="198"/>
      <c r="D109" s="188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93"/>
      <c r="Z109" s="193"/>
      <c r="AA109" s="190"/>
      <c r="AB109" s="193"/>
      <c r="AC109" s="192"/>
      <c r="AD109" s="188"/>
      <c r="AE109" s="188"/>
      <c r="AF109" s="188"/>
      <c r="AG109" s="188"/>
    </row>
    <row r="110" spans="2:33" x14ac:dyDescent="0.25">
      <c r="C110" s="198"/>
      <c r="D110" s="188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93"/>
      <c r="Z110" s="193"/>
      <c r="AA110" s="190"/>
      <c r="AB110" s="193"/>
      <c r="AC110" s="192"/>
      <c r="AD110" s="188"/>
      <c r="AE110" s="188"/>
      <c r="AF110" s="188"/>
      <c r="AG110" s="188"/>
    </row>
    <row r="111" spans="2:33" x14ac:dyDescent="0.25">
      <c r="C111" s="198"/>
      <c r="D111" s="188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93"/>
      <c r="Z111" s="193"/>
      <c r="AA111" s="190"/>
      <c r="AB111" s="193"/>
      <c r="AC111" s="192"/>
      <c r="AD111" s="188"/>
      <c r="AE111" s="188"/>
      <c r="AF111" s="188"/>
      <c r="AG111" s="188"/>
    </row>
    <row r="112" spans="2:33" x14ac:dyDescent="0.25">
      <c r="C112" s="198"/>
      <c r="D112" s="188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93"/>
      <c r="Z112" s="193"/>
      <c r="AA112" s="190"/>
      <c r="AB112" s="193"/>
      <c r="AC112" s="192"/>
      <c r="AD112" s="188"/>
      <c r="AE112" s="188"/>
      <c r="AF112" s="188"/>
      <c r="AG112" s="188"/>
    </row>
    <row r="113" spans="2:33" x14ac:dyDescent="0.25">
      <c r="C113" s="198"/>
      <c r="D113" s="188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93"/>
      <c r="Z113" s="193"/>
      <c r="AA113" s="190"/>
      <c r="AB113" s="193"/>
      <c r="AC113" s="192"/>
      <c r="AD113" s="188"/>
      <c r="AE113" s="188"/>
      <c r="AF113" s="188"/>
      <c r="AG113" s="188"/>
    </row>
    <row r="114" spans="2:33" x14ac:dyDescent="0.25">
      <c r="C114" s="198"/>
      <c r="D114" s="188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93"/>
      <c r="Z114" s="193"/>
      <c r="AA114" s="190"/>
      <c r="AB114" s="193"/>
      <c r="AC114" s="192"/>
      <c r="AD114" s="188"/>
      <c r="AE114" s="188"/>
      <c r="AF114" s="188"/>
      <c r="AG114" s="188"/>
    </row>
    <row r="115" spans="2:33" x14ac:dyDescent="0.25">
      <c r="C115" s="198"/>
      <c r="D115" s="188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93"/>
      <c r="Z115" s="193"/>
      <c r="AA115" s="190"/>
      <c r="AB115" s="193"/>
      <c r="AC115" s="192"/>
      <c r="AD115" s="188"/>
      <c r="AE115" s="188"/>
      <c r="AF115" s="188"/>
      <c r="AG115" s="188"/>
    </row>
    <row r="116" spans="2:33" x14ac:dyDescent="0.25">
      <c r="C116" s="198"/>
      <c r="D116" s="188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93"/>
      <c r="Z116" s="193"/>
      <c r="AA116" s="190"/>
      <c r="AB116" s="193"/>
      <c r="AC116" s="192"/>
      <c r="AD116" s="188"/>
      <c r="AE116" s="188"/>
      <c r="AF116" s="188"/>
      <c r="AG116" s="188"/>
    </row>
    <row r="117" spans="2:33" x14ac:dyDescent="0.25">
      <c r="C117" s="198"/>
      <c r="D117" s="188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93"/>
      <c r="Z117" s="193"/>
      <c r="AA117" s="190"/>
      <c r="AB117" s="193"/>
      <c r="AC117" s="192"/>
      <c r="AD117" s="188"/>
      <c r="AE117" s="188"/>
      <c r="AF117" s="188"/>
      <c r="AG117" s="188"/>
    </row>
    <row r="118" spans="2:33" x14ac:dyDescent="0.25">
      <c r="C118" s="198"/>
      <c r="D118" s="188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93"/>
      <c r="Z118" s="193"/>
      <c r="AA118" s="190"/>
      <c r="AB118" s="193"/>
      <c r="AC118" s="192"/>
      <c r="AD118" s="188"/>
      <c r="AE118" s="188"/>
      <c r="AF118" s="188"/>
      <c r="AG118" s="188"/>
    </row>
    <row r="119" spans="2:33" x14ac:dyDescent="0.25">
      <c r="C119" s="191"/>
      <c r="D119" s="188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8"/>
      <c r="Z119" s="188"/>
      <c r="AA119" s="190"/>
      <c r="AB119" s="188"/>
      <c r="AC119" s="191"/>
      <c r="AD119" s="188"/>
      <c r="AE119" s="188"/>
      <c r="AF119" s="188"/>
      <c r="AG119" s="188"/>
    </row>
    <row r="120" spans="2:33" x14ac:dyDescent="0.25">
      <c r="C120" s="191"/>
      <c r="D120" s="188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188"/>
      <c r="W120" s="184"/>
      <c r="X120" s="184"/>
      <c r="Y120" s="188"/>
      <c r="Z120" s="188"/>
      <c r="AA120" s="190"/>
      <c r="AB120" s="188"/>
      <c r="AC120" s="191"/>
      <c r="AD120" s="188"/>
      <c r="AE120" s="188"/>
      <c r="AF120" s="188"/>
      <c r="AG120" s="188"/>
    </row>
    <row r="121" spans="2:33" x14ac:dyDescent="0.25">
      <c r="B121" s="188"/>
      <c r="C121" s="191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188"/>
      <c r="AE121" s="188"/>
      <c r="AF121" s="188"/>
      <c r="AG121" s="188"/>
    </row>
    <row r="122" spans="2:33" x14ac:dyDescent="0.25">
      <c r="B122" s="188"/>
      <c r="C122" s="191"/>
      <c r="D122" s="188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196"/>
      <c r="Z122" s="196"/>
      <c r="AA122" s="197"/>
      <c r="AB122" s="196"/>
      <c r="AC122" s="198"/>
      <c r="AD122" s="188"/>
      <c r="AE122" s="188"/>
      <c r="AF122" s="188"/>
      <c r="AG122" s="188"/>
    </row>
    <row r="123" spans="2:33" x14ac:dyDescent="0.25">
      <c r="B123" s="188"/>
      <c r="C123" s="198"/>
      <c r="D123" s="196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196"/>
      <c r="Z123" s="196"/>
      <c r="AA123" s="197"/>
      <c r="AB123" s="196"/>
      <c r="AC123" s="198"/>
    </row>
    <row r="124" spans="2:33" x14ac:dyDescent="0.25">
      <c r="B124" s="203"/>
      <c r="C124" s="198"/>
      <c r="D124" s="196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196"/>
      <c r="Z124" s="196"/>
      <c r="AA124" s="197"/>
      <c r="AB124" s="196"/>
      <c r="AC124" s="198"/>
    </row>
    <row r="125" spans="2:33" x14ac:dyDescent="0.25">
      <c r="C125" s="198"/>
      <c r="D125" s="196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93"/>
      <c r="Z125" s="193"/>
      <c r="AA125" s="190"/>
      <c r="AB125" s="193"/>
      <c r="AC125" s="192"/>
    </row>
    <row r="126" spans="2:33" x14ac:dyDescent="0.25">
      <c r="C126" s="198"/>
      <c r="D126" s="196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93"/>
      <c r="Z126" s="193"/>
      <c r="AA126" s="190"/>
      <c r="AB126" s="193"/>
      <c r="AC126" s="192"/>
    </row>
    <row r="127" spans="2:33" x14ac:dyDescent="0.25">
      <c r="C127" s="198"/>
      <c r="D127" s="196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93"/>
      <c r="Z127" s="193"/>
      <c r="AA127" s="190"/>
      <c r="AB127" s="193"/>
      <c r="AC127" s="192"/>
    </row>
    <row r="128" spans="2:33" x14ac:dyDescent="0.25">
      <c r="C128" s="191"/>
      <c r="D128" s="188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93"/>
      <c r="Z128" s="193"/>
      <c r="AA128" s="190"/>
      <c r="AB128" s="193"/>
      <c r="AC128" s="192"/>
    </row>
    <row r="129" spans="2:29" x14ac:dyDescent="0.25">
      <c r="C129" s="198"/>
      <c r="D129" s="188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93"/>
      <c r="Z129" s="193"/>
      <c r="AA129" s="190"/>
      <c r="AB129" s="193"/>
      <c r="AC129" s="192"/>
    </row>
    <row r="130" spans="2:29" x14ac:dyDescent="0.25">
      <c r="C130" s="191"/>
      <c r="D130" s="188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8"/>
      <c r="Z130" s="188"/>
      <c r="AA130" s="190"/>
      <c r="AB130" s="188"/>
      <c r="AC130" s="191"/>
    </row>
    <row r="131" spans="2:29" x14ac:dyDescent="0.25">
      <c r="C131" s="191"/>
      <c r="D131" s="188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93"/>
      <c r="Z131" s="193"/>
      <c r="AA131" s="190"/>
      <c r="AB131" s="193"/>
      <c r="AC131" s="192"/>
    </row>
    <row r="132" spans="2:29" x14ac:dyDescent="0.25">
      <c r="B132" s="188"/>
      <c r="C132" s="191"/>
      <c r="D132" s="188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8"/>
      <c r="Z132" s="188"/>
      <c r="AA132" s="190"/>
      <c r="AB132" s="188"/>
      <c r="AC132" s="191"/>
    </row>
    <row r="133" spans="2:29" x14ac:dyDescent="0.25">
      <c r="B133" s="188"/>
      <c r="C133" s="191"/>
      <c r="D133" s="188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8"/>
      <c r="Z133" s="188"/>
      <c r="AA133" s="190"/>
      <c r="AB133" s="188"/>
      <c r="AC133" s="191"/>
    </row>
    <row r="134" spans="2:29" x14ac:dyDescent="0.25">
      <c r="B134" s="188"/>
      <c r="C134" s="191"/>
      <c r="D134" s="188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204"/>
      <c r="Z134" s="204"/>
      <c r="AA134" s="190"/>
      <c r="AB134" s="204"/>
      <c r="AC134" s="205"/>
    </row>
    <row r="135" spans="2:29" x14ac:dyDescent="0.25">
      <c r="B135" s="188"/>
      <c r="C135" s="191"/>
      <c r="D135" s="188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206"/>
      <c r="Z135" s="206"/>
      <c r="AA135" s="190"/>
      <c r="AB135" s="206"/>
      <c r="AC135" s="207"/>
    </row>
    <row r="136" spans="2:29" x14ac:dyDescent="0.25">
      <c r="C136" s="191"/>
      <c r="D136" s="188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8"/>
      <c r="Z136" s="188"/>
      <c r="AA136" s="190"/>
      <c r="AB136" s="188"/>
      <c r="AC136" s="191"/>
    </row>
    <row r="137" spans="2:29" x14ac:dyDescent="0.25">
      <c r="C137" s="191"/>
      <c r="D137" s="188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8"/>
      <c r="Z137" s="188"/>
      <c r="AA137" s="190"/>
      <c r="AB137" s="188"/>
      <c r="AC137" s="191"/>
    </row>
    <row r="138" spans="2:29" x14ac:dyDescent="0.25">
      <c r="C138" s="191"/>
      <c r="D138" s="188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8"/>
      <c r="Z138" s="188"/>
      <c r="AA138" s="190"/>
      <c r="AB138" s="188"/>
      <c r="AC138" s="191"/>
    </row>
    <row r="139" spans="2:29" x14ac:dyDescent="0.25">
      <c r="C139" s="191"/>
      <c r="D139" s="188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8"/>
      <c r="Z139" s="188"/>
      <c r="AA139" s="190"/>
      <c r="AB139" s="188"/>
      <c r="AC139" s="191"/>
    </row>
    <row r="140" spans="2:29" x14ac:dyDescent="0.25">
      <c r="C140" s="191"/>
      <c r="D140" s="188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8"/>
      <c r="Z140" s="188"/>
      <c r="AA140" s="190"/>
      <c r="AB140" s="188"/>
      <c r="AC140" s="191"/>
    </row>
    <row r="141" spans="2:29" x14ac:dyDescent="0.25">
      <c r="C141" s="191"/>
      <c r="D141" s="188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8"/>
      <c r="Z141" s="188"/>
      <c r="AA141" s="190"/>
      <c r="AB141" s="188"/>
      <c r="AC141" s="191"/>
    </row>
    <row r="142" spans="2:29" x14ac:dyDescent="0.25">
      <c r="C142" s="191"/>
      <c r="D142" s="188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8"/>
      <c r="Z142" s="188"/>
      <c r="AA142" s="190"/>
      <c r="AB142" s="188"/>
      <c r="AC142" s="191"/>
    </row>
    <row r="143" spans="2:29" x14ac:dyDescent="0.25">
      <c r="C143" s="191"/>
      <c r="D143" s="188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>
        <v>3003000</v>
      </c>
      <c r="P143" s="184"/>
      <c r="Q143" s="184"/>
      <c r="R143" s="184"/>
      <c r="S143" s="184"/>
      <c r="T143" s="184"/>
      <c r="U143" s="184"/>
      <c r="V143" s="184"/>
      <c r="W143" s="184"/>
      <c r="X143" s="184"/>
      <c r="Y143" s="188"/>
      <c r="Z143" s="188"/>
      <c r="AA143" s="190"/>
      <c r="AB143" s="188"/>
      <c r="AC143" s="191"/>
    </row>
    <row r="144" spans="2:29" x14ac:dyDescent="0.25">
      <c r="C144" s="198"/>
      <c r="D144" s="188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8"/>
      <c r="Z144" s="188"/>
      <c r="AA144" s="190"/>
      <c r="AB144" s="188"/>
      <c r="AC144" s="191"/>
    </row>
    <row r="145" spans="3:29" x14ac:dyDescent="0.25">
      <c r="C145" s="198"/>
      <c r="D145" s="188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8"/>
      <c r="Z145" s="188"/>
      <c r="AA145" s="190"/>
      <c r="AB145" s="188"/>
      <c r="AC145" s="191"/>
    </row>
    <row r="146" spans="3:29" x14ac:dyDescent="0.25">
      <c r="C146" s="198"/>
      <c r="D146" s="188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8"/>
      <c r="Z146" s="188"/>
      <c r="AA146" s="190"/>
      <c r="AB146" s="188"/>
      <c r="AC146" s="191"/>
    </row>
    <row r="147" spans="3:29" x14ac:dyDescent="0.25">
      <c r="C147" s="198"/>
      <c r="D147" s="188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8"/>
      <c r="Z147" s="188"/>
      <c r="AA147" s="190"/>
      <c r="AB147" s="188"/>
      <c r="AC147" s="191"/>
    </row>
    <row r="148" spans="3:29" x14ac:dyDescent="0.25">
      <c r="C148" s="191">
        <v>42614840</v>
      </c>
      <c r="D148" s="188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>
        <v>412608</v>
      </c>
      <c r="Y148" s="188"/>
      <c r="Z148" s="188"/>
      <c r="AA148" s="190"/>
      <c r="AB148" s="188"/>
      <c r="AC148" s="191"/>
    </row>
    <row r="149" spans="3:29" x14ac:dyDescent="0.25">
      <c r="C149" s="191">
        <v>9675182</v>
      </c>
      <c r="D149" s="188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>
        <v>1880000</v>
      </c>
      <c r="Y149" s="188"/>
      <c r="Z149" s="188"/>
      <c r="AA149" s="190"/>
      <c r="AB149" s="188"/>
      <c r="AC149" s="191"/>
    </row>
    <row r="150" spans="3:29" x14ac:dyDescent="0.25">
      <c r="C150" s="191">
        <v>17903600</v>
      </c>
      <c r="D150" s="188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8"/>
      <c r="Z150" s="188"/>
      <c r="AA150" s="190"/>
      <c r="AB150" s="188"/>
      <c r="AC150" s="191"/>
    </row>
    <row r="151" spans="3:29" x14ac:dyDescent="0.25">
      <c r="C151" s="191">
        <f>SUM(C148:C150)</f>
        <v>70193622</v>
      </c>
      <c r="D151" s="188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8"/>
      <c r="Z151" s="188"/>
      <c r="AA151" s="190"/>
      <c r="AB151" s="188"/>
      <c r="AC151" s="191"/>
    </row>
    <row r="152" spans="3:29" x14ac:dyDescent="0.25">
      <c r="C152" s="191">
        <v>400000</v>
      </c>
      <c r="D152" s="188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8"/>
      <c r="Z152" s="188"/>
      <c r="AA152" s="190"/>
      <c r="AB152" s="188"/>
      <c r="AC152" s="191"/>
    </row>
    <row r="153" spans="3:29" x14ac:dyDescent="0.25">
      <c r="C153" s="191">
        <f>+C151+C152</f>
        <v>70593622</v>
      </c>
      <c r="D153" s="188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8"/>
      <c r="Z153" s="188"/>
      <c r="AA153" s="190"/>
      <c r="AB153" s="188"/>
      <c r="AC153" s="191"/>
    </row>
    <row r="156" spans="3:29" x14ac:dyDescent="0.25">
      <c r="C156" s="183">
        <v>64000000</v>
      </c>
    </row>
    <row r="157" spans="3:29" x14ac:dyDescent="0.25">
      <c r="C157" s="183">
        <v>11000000</v>
      </c>
    </row>
    <row r="158" spans="3:29" x14ac:dyDescent="0.25">
      <c r="C158" s="183">
        <f>+C156+C157</f>
        <v>75000000</v>
      </c>
    </row>
    <row r="162" spans="3:3" x14ac:dyDescent="0.25">
      <c r="C162" s="183">
        <v>2745000</v>
      </c>
    </row>
    <row r="163" spans="3:3" x14ac:dyDescent="0.25">
      <c r="C163" s="183">
        <v>3185000</v>
      </c>
    </row>
    <row r="164" spans="3:3" x14ac:dyDescent="0.25">
      <c r="C164" s="183">
        <v>1080000</v>
      </c>
    </row>
    <row r="165" spans="3:3" x14ac:dyDescent="0.25">
      <c r="C165" s="183">
        <v>4850100</v>
      </c>
    </row>
    <row r="166" spans="3:3" x14ac:dyDescent="0.25">
      <c r="C166" s="183">
        <v>5027500</v>
      </c>
    </row>
    <row r="167" spans="3:3" x14ac:dyDescent="0.25">
      <c r="C167" s="183">
        <v>4566000</v>
      </c>
    </row>
    <row r="168" spans="3:3" x14ac:dyDescent="0.25">
      <c r="C168" s="183">
        <v>1050000</v>
      </c>
    </row>
    <row r="169" spans="3:3" x14ac:dyDescent="0.25">
      <c r="C169" s="183">
        <v>3877333</v>
      </c>
    </row>
    <row r="170" spans="3:3" x14ac:dyDescent="0.25">
      <c r="C170" s="183">
        <v>6732440</v>
      </c>
    </row>
    <row r="171" spans="3:3" x14ac:dyDescent="0.25">
      <c r="C171" s="183">
        <v>3460000</v>
      </c>
    </row>
    <row r="172" spans="3:3" x14ac:dyDescent="0.25">
      <c r="C172" s="183">
        <v>588800</v>
      </c>
    </row>
    <row r="173" spans="3:3" x14ac:dyDescent="0.25">
      <c r="C173" s="183">
        <v>1868000</v>
      </c>
    </row>
    <row r="174" spans="3:3" x14ac:dyDescent="0.25">
      <c r="C174" s="183">
        <v>10313000</v>
      </c>
    </row>
    <row r="175" spans="3:3" x14ac:dyDescent="0.25">
      <c r="C175" s="183">
        <v>3443800</v>
      </c>
    </row>
    <row r="176" spans="3:3" x14ac:dyDescent="0.25">
      <c r="C176" s="183">
        <v>8136400</v>
      </c>
    </row>
    <row r="177" spans="3:3" x14ac:dyDescent="0.25">
      <c r="C177" s="183">
        <v>9675183</v>
      </c>
    </row>
    <row r="178" spans="3:3" x14ac:dyDescent="0.25">
      <c r="C178" s="183">
        <f>SUM(C162:C177)</f>
        <v>70598556</v>
      </c>
    </row>
  </sheetData>
  <mergeCells count="7">
    <mergeCell ref="D121:AC121"/>
    <mergeCell ref="C1:Y1"/>
    <mergeCell ref="E2:N2"/>
    <mergeCell ref="O2:X2"/>
    <mergeCell ref="A3:A46"/>
    <mergeCell ref="A47:A82"/>
    <mergeCell ref="E120:U120"/>
  </mergeCells>
  <hyperlinks>
    <hyperlink ref="AC5" r:id="rId1" xr:uid="{B52B1E23-0B04-45D8-9DB4-9E962FDC4CE7}"/>
    <hyperlink ref="AC62" r:id="rId2" xr:uid="{CC335292-A47A-49E9-969C-75F13BA0009D}"/>
    <hyperlink ref="AC52" r:id="rId3" xr:uid="{6BC8629E-677E-4DE5-8B1B-433FBF4F374F}"/>
    <hyperlink ref="AC53" r:id="rId4" xr:uid="{C0456AFD-EDC2-4CA8-97EB-608B415EF06A}"/>
    <hyperlink ref="AC19" r:id="rId5" xr:uid="{F0A4F514-EB41-48B9-B54F-F1AA0102E777}"/>
    <hyperlink ref="AC35" r:id="rId6" xr:uid="{19D99B1A-1E0B-439B-95CA-7F83D4A6F4CE}"/>
    <hyperlink ref="AC82" r:id="rId7" xr:uid="{6E91F887-2032-4C1B-8466-580706E17B29}"/>
    <hyperlink ref="AC14" r:id="rId8" xr:uid="{933EE13C-CFBB-4555-9680-D4B5F3CF2A3A}"/>
    <hyperlink ref="AC81" r:id="rId9" xr:uid="{51ECE9E9-62B4-4A28-84B2-7F923E771AB2}"/>
    <hyperlink ref="AC80" r:id="rId10" xr:uid="{466DA197-7AA9-4910-A192-9D2E1447E5D4}"/>
    <hyperlink ref="AC78" r:id="rId11" xr:uid="{CE6DC5F0-1183-4D41-B330-6D4CE3E84402}"/>
    <hyperlink ref="AC76" r:id="rId12" xr:uid="{0602783B-B3F2-4171-8E4E-7D57B35A9114}"/>
    <hyperlink ref="AC73" r:id="rId13" xr:uid="{DB407898-AC26-4C67-8F5C-254041413CDE}"/>
    <hyperlink ref="AC70" r:id="rId14" xr:uid="{B54439C9-7301-4962-A0D9-A8BE47483F91}"/>
    <hyperlink ref="AC69" r:id="rId15" xr:uid="{3CC427C6-3026-4163-AE02-A16641631B65}"/>
    <hyperlink ref="AC67" r:id="rId16" xr:uid="{E1DC2D1F-0378-4D47-9854-0E50F0C4CDCA}"/>
    <hyperlink ref="AC65" r:id="rId17" xr:uid="{8C85B015-F503-45B8-A764-A37E7FF3D1D8}"/>
    <hyperlink ref="AC64" r:id="rId18" xr:uid="{BF38C0DB-D10A-451A-A521-28CBC952A617}"/>
    <hyperlink ref="AC58" r:id="rId19" xr:uid="{19FE09D5-A077-44EC-B382-BADADAEB2B85}"/>
    <hyperlink ref="AC55" r:id="rId20" xr:uid="{9402B74D-C0AE-4465-AF78-217ADED62907}"/>
    <hyperlink ref="AC54" r:id="rId21" xr:uid="{8971D6A4-F7B0-447E-80CC-7CB31F7A8883}"/>
    <hyperlink ref="AC47" r:id="rId22" xr:uid="{4B8F9698-66EB-4758-9837-B07545B38227}"/>
    <hyperlink ref="AC45" r:id="rId23" xr:uid="{A56FC592-74AF-4EEE-8767-A1A293B3CDA8}"/>
    <hyperlink ref="AC43" r:id="rId24" xr:uid="{3C3ACA68-6376-4FD0-97B2-8698B0B674F9}"/>
    <hyperlink ref="AC37" r:id="rId25" xr:uid="{38BC9DCB-C220-4D44-A5DB-DD342B28ADEE}"/>
    <hyperlink ref="AC34" r:id="rId26" xr:uid="{FBBDDF9D-EF0D-4A82-B130-2E1E67E7FA45}"/>
    <hyperlink ref="AC32" r:id="rId27" xr:uid="{011F3BB8-5439-492B-997C-F41DB7DC0950}"/>
    <hyperlink ref="AC31" r:id="rId28" xr:uid="{602A4A2C-E5BA-4ACF-BBCB-4D1F070417C9}"/>
    <hyperlink ref="AC11" r:id="rId29" xr:uid="{738A6C66-8882-496C-A8E1-E459E9851FFF}"/>
    <hyperlink ref="AC30" r:id="rId30" xr:uid="{C28905A9-4F7D-4DB2-AC58-272B373D0E03}"/>
    <hyperlink ref="AC28" r:id="rId31" xr:uid="{710D4672-E43A-48E2-B3B7-81CB18BD2520}"/>
    <hyperlink ref="AC23" r:id="rId32" xr:uid="{2B444533-1DD3-42AD-AAA4-EA2F9A9CBAE2}"/>
    <hyperlink ref="AC21" r:id="rId33" xr:uid="{2CBACF8C-8A2F-45B2-9AEC-6F901D870071}"/>
    <hyperlink ref="AC18" r:id="rId34" xr:uid="{1FAE5226-4C2F-46E8-92F9-3BE1E2914210}"/>
    <hyperlink ref="AC15" r:id="rId35" xr:uid="{C8875D92-E205-4CC5-ABA2-1E95C727AC6F}"/>
    <hyperlink ref="AC8" r:id="rId36" xr:uid="{C629935B-0F01-4E79-BC14-7FAEA19EC477}"/>
    <hyperlink ref="AC7" r:id="rId37" xr:uid="{028DF3F7-0452-4B06-8BA6-52DC7CF14701}"/>
    <hyperlink ref="AC71" r:id="rId38" xr:uid="{98E7B178-6E3C-402C-AAC1-B72945157E82}"/>
    <hyperlink ref="AC25" r:id="rId39" xr:uid="{83827F7D-24AC-4420-B18F-9369821D7380}"/>
    <hyperlink ref="AC57" r:id="rId40" xr:uid="{159D7734-F516-4737-9944-B11AB45DDF24}"/>
    <hyperlink ref="AC72" r:id="rId41" xr:uid="{BA196E43-37CE-46E2-B830-091A0AF09676}"/>
    <hyperlink ref="AC74" r:id="rId42" xr:uid="{A40F1C61-7291-4E93-A5C5-133C23A1DDA9}"/>
    <hyperlink ref="AC17" r:id="rId43" xr:uid="{6BD15E6B-9290-4ACC-8791-ED2BA9A4FA5C}"/>
    <hyperlink ref="AC12" r:id="rId44" xr:uid="{D5C379BD-6D23-42CB-8A3C-9EA286812561}"/>
    <hyperlink ref="AC61" r:id="rId45" xr:uid="{63540220-46E4-4ED2-96CA-6579F5D0BCBB}"/>
    <hyperlink ref="AC4" r:id="rId46" xr:uid="{CD6C29F1-346F-433F-BA8A-C0ECEB6A3879}"/>
    <hyperlink ref="AC84" r:id="rId47" xr:uid="{C0AFD7C2-9901-41C1-BB9C-2D584661E032}"/>
  </hyperlinks>
  <pageMargins left="0.7" right="0.7" top="0.75" bottom="0.75" header="0.3" footer="0.3"/>
  <legacy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192"/>
  <sheetViews>
    <sheetView workbookViewId="0">
      <selection activeCell="J11" sqref="J11"/>
    </sheetView>
  </sheetViews>
  <sheetFormatPr baseColWidth="10" defaultRowHeight="12" x14ac:dyDescent="0.25"/>
  <cols>
    <col min="1" max="1" width="10.42578125" style="65" customWidth="1"/>
    <col min="2" max="2" width="4.85546875" style="98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99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B1" s="65"/>
      <c r="C1" s="228" t="s">
        <v>217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57"/>
      <c r="W1" s="94"/>
      <c r="X1" s="57"/>
    </row>
    <row r="2" spans="1:24" x14ac:dyDescent="0.25">
      <c r="B2" s="65"/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57"/>
      <c r="W2" s="94"/>
      <c r="X2" s="57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56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55"/>
      <c r="W3" s="95"/>
      <c r="X3" s="55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29" si="0">SUM(G4:I4)+J4</f>
        <v>4815000</v>
      </c>
      <c r="L4" s="22">
        <f t="shared" ref="L4:L38" si="1">+G4*4%</f>
        <v>192600</v>
      </c>
      <c r="M4" s="22">
        <f>+G4*5%</f>
        <v>240750</v>
      </c>
      <c r="N4" s="22"/>
      <c r="O4" s="58"/>
      <c r="P4" s="22">
        <v>19000</v>
      </c>
      <c r="Q4" s="22"/>
      <c r="R4" s="22"/>
      <c r="S4" s="22"/>
      <c r="T4" s="22">
        <f t="shared" ref="T4:T44" si="2">SUM(L4:S4)</f>
        <v>452350</v>
      </c>
      <c r="U4" s="23">
        <f>+K4-T4</f>
        <v>4362650</v>
      </c>
      <c r="V4" s="23"/>
      <c r="W4" s="64"/>
      <c r="X4" s="23">
        <f t="shared" ref="X4:X65" si="3">U4+V4-W4</f>
        <v>4362650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58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8" si="5">+G6*5%</f>
        <v>225000</v>
      </c>
      <c r="N6" s="22"/>
      <c r="O6" s="58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58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64"/>
      <c r="X7" s="23">
        <f t="shared" si="3"/>
        <v>4173490.29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58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64"/>
      <c r="X8" s="23">
        <f t="shared" si="3"/>
        <v>6014299</v>
      </c>
    </row>
    <row r="9" spans="1: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28</v>
      </c>
      <c r="G9" s="22">
        <f>E9/30*F9</f>
        <v>3920000</v>
      </c>
      <c r="H9" s="22"/>
      <c r="I9" s="22"/>
      <c r="J9" s="22">
        <v>280000</v>
      </c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58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44</v>
      </c>
      <c r="D10" s="20" t="s">
        <v>32</v>
      </c>
      <c r="E10" s="22">
        <v>5000000</v>
      </c>
      <c r="F10" s="22">
        <v>30</v>
      </c>
      <c r="G10" s="22">
        <f>+E10/30*F10</f>
        <v>5000000</v>
      </c>
      <c r="H10" s="22"/>
      <c r="I10" s="22">
        <v>136000</v>
      </c>
      <c r="J10" s="22"/>
      <c r="K10" s="22">
        <f t="shared" si="0"/>
        <v>5136000</v>
      </c>
      <c r="L10" s="22">
        <v>200000</v>
      </c>
      <c r="M10" s="22">
        <v>250000</v>
      </c>
      <c r="N10" s="22"/>
      <c r="O10" s="58"/>
      <c r="P10" s="22">
        <v>6248</v>
      </c>
      <c r="Q10" s="22"/>
      <c r="R10" s="22"/>
      <c r="S10" s="22"/>
      <c r="T10" s="22">
        <f t="shared" si="2"/>
        <v>456248</v>
      </c>
      <c r="U10" s="23">
        <f t="shared" ref="U10:U14" si="6">+K10-T10</f>
        <v>4679752</v>
      </c>
      <c r="V10" s="23"/>
      <c r="W10" s="64"/>
      <c r="X10" s="23">
        <f t="shared" si="3"/>
        <v>4679752</v>
      </c>
    </row>
    <row r="11" spans="1:24" ht="25.5" customHeight="1" x14ac:dyDescent="0.25">
      <c r="A11" s="233"/>
      <c r="B11" s="26">
        <v>8</v>
      </c>
      <c r="C11" s="30" t="s">
        <v>47</v>
      </c>
      <c r="D11" s="26" t="s">
        <v>32</v>
      </c>
      <c r="E11" s="22">
        <v>3745000</v>
      </c>
      <c r="F11" s="22">
        <v>30</v>
      </c>
      <c r="G11" s="22">
        <f t="shared" ref="G11:G14" si="7">+E11/30*F11</f>
        <v>3745000</v>
      </c>
      <c r="H11" s="22"/>
      <c r="I11" s="22">
        <v>535000</v>
      </c>
      <c r="J11" s="22">
        <f>+E11-G11</f>
        <v>0</v>
      </c>
      <c r="K11" s="22">
        <f t="shared" si="0"/>
        <v>4280000</v>
      </c>
      <c r="L11" s="22">
        <v>149800</v>
      </c>
      <c r="M11" s="22">
        <v>187250</v>
      </c>
      <c r="N11" s="22"/>
      <c r="O11" s="58"/>
      <c r="P11" s="22">
        <v>0</v>
      </c>
      <c r="Q11" s="22"/>
      <c r="R11" s="22"/>
      <c r="S11" s="22"/>
      <c r="T11" s="22">
        <f t="shared" si="2"/>
        <v>337050</v>
      </c>
      <c r="U11" s="23">
        <f t="shared" si="6"/>
        <v>3942950</v>
      </c>
      <c r="V11" s="23"/>
      <c r="W11" s="64"/>
      <c r="X11" s="23">
        <f t="shared" si="3"/>
        <v>3942950</v>
      </c>
    </row>
    <row r="12" spans="1:24" x14ac:dyDescent="0.25">
      <c r="A12" s="233"/>
      <c r="B12" s="26">
        <v>9</v>
      </c>
      <c r="C12" s="30" t="s">
        <v>199</v>
      </c>
      <c r="D12" s="26" t="s">
        <v>32</v>
      </c>
      <c r="E12" s="22">
        <v>4500000</v>
      </c>
      <c r="F12" s="22">
        <v>30</v>
      </c>
      <c r="G12" s="22">
        <f t="shared" si="7"/>
        <v>4500000</v>
      </c>
      <c r="H12" s="22"/>
      <c r="I12" s="22"/>
      <c r="J12" s="22"/>
      <c r="K12" s="22">
        <f t="shared" si="0"/>
        <v>4500000</v>
      </c>
      <c r="L12" s="22">
        <f>+G12*4%</f>
        <v>180000</v>
      </c>
      <c r="M12" s="22">
        <f>+G12*5%</f>
        <v>225000</v>
      </c>
      <c r="N12" s="22"/>
      <c r="O12" s="58"/>
      <c r="P12" s="22">
        <v>3000</v>
      </c>
      <c r="Q12" s="22"/>
      <c r="R12" s="22"/>
      <c r="S12" s="22"/>
      <c r="T12" s="22">
        <f t="shared" si="2"/>
        <v>408000</v>
      </c>
      <c r="U12" s="23">
        <f t="shared" si="6"/>
        <v>4092000</v>
      </c>
      <c r="V12" s="23"/>
      <c r="W12" s="64"/>
      <c r="X12" s="23">
        <f t="shared" si="3"/>
        <v>4092000</v>
      </c>
    </row>
    <row r="13" spans="1:24" x14ac:dyDescent="0.25">
      <c r="A13" s="233"/>
      <c r="B13" s="26">
        <v>10</v>
      </c>
      <c r="C13" s="30" t="s">
        <v>200</v>
      </c>
      <c r="D13" s="26" t="s">
        <v>32</v>
      </c>
      <c r="E13" s="22">
        <v>4200000</v>
      </c>
      <c r="F13" s="22">
        <v>30</v>
      </c>
      <c r="G13" s="22">
        <f t="shared" si="7"/>
        <v>4200000</v>
      </c>
      <c r="H13" s="22"/>
      <c r="I13" s="22"/>
      <c r="J13" s="22">
        <v>3937500</v>
      </c>
      <c r="K13" s="22">
        <f t="shared" ref="K13" si="8">SUM(G13:I13)+J13</f>
        <v>8137500</v>
      </c>
      <c r="L13" s="22">
        <v>168000</v>
      </c>
      <c r="M13" s="22">
        <v>210000</v>
      </c>
      <c r="N13" s="22"/>
      <c r="O13" s="58">
        <v>79000</v>
      </c>
      <c r="P13" s="22">
        <v>32000</v>
      </c>
      <c r="Q13" s="22"/>
      <c r="R13" s="22"/>
      <c r="S13" s="22"/>
      <c r="T13" s="22">
        <f t="shared" ref="T13" si="9">SUM(L13:S13)</f>
        <v>489000</v>
      </c>
      <c r="U13" s="23">
        <f t="shared" si="6"/>
        <v>7648500</v>
      </c>
      <c r="V13" s="23"/>
      <c r="W13" s="64"/>
      <c r="X13" s="23">
        <f t="shared" si="3"/>
        <v>7648500</v>
      </c>
    </row>
    <row r="14" spans="1:24" x14ac:dyDescent="0.25">
      <c r="A14" s="233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>
        <v>450000</v>
      </c>
      <c r="J14" s="22"/>
      <c r="K14" s="22">
        <f t="shared" si="0"/>
        <v>5950000</v>
      </c>
      <c r="L14" s="22">
        <f t="shared" si="1"/>
        <v>220000</v>
      </c>
      <c r="M14" s="22">
        <f t="shared" si="5"/>
        <v>275000</v>
      </c>
      <c r="N14" s="22"/>
      <c r="O14" s="58"/>
      <c r="P14" s="25">
        <v>150521</v>
      </c>
      <c r="Q14" s="22">
        <v>400000</v>
      </c>
      <c r="R14" s="22"/>
      <c r="S14" s="22"/>
      <c r="T14" s="22">
        <f t="shared" si="2"/>
        <v>1045521</v>
      </c>
      <c r="U14" s="23">
        <f t="shared" si="6"/>
        <v>4904479</v>
      </c>
      <c r="V14" s="23"/>
      <c r="W14" s="64"/>
      <c r="X14" s="23">
        <f t="shared" si="3"/>
        <v>4904479</v>
      </c>
    </row>
    <row r="15" spans="1:24" ht="24" x14ac:dyDescent="0.25">
      <c r="A15" s="233"/>
      <c r="B15" s="26">
        <v>12</v>
      </c>
      <c r="C15" s="19" t="s">
        <v>54</v>
      </c>
      <c r="D15" s="20" t="s">
        <v>32</v>
      </c>
      <c r="E15" s="22">
        <v>5000000</v>
      </c>
      <c r="F15" s="22">
        <v>30</v>
      </c>
      <c r="G15" s="22">
        <f>E15/30*F15</f>
        <v>5000000</v>
      </c>
      <c r="H15" s="22">
        <v>90000</v>
      </c>
      <c r="I15" s="22">
        <v>900000</v>
      </c>
      <c r="J15" s="22"/>
      <c r="K15" s="22">
        <f t="shared" si="0"/>
        <v>5990000</v>
      </c>
      <c r="L15" s="22">
        <v>200000</v>
      </c>
      <c r="M15" s="22">
        <v>250000</v>
      </c>
      <c r="N15" s="22"/>
      <c r="O15" s="58"/>
      <c r="P15" s="25">
        <v>98752</v>
      </c>
      <c r="Q15" s="22"/>
      <c r="R15" s="22"/>
      <c r="S15" s="22"/>
      <c r="T15" s="22">
        <f t="shared" si="2"/>
        <v>548752</v>
      </c>
      <c r="U15" s="23">
        <f>K15-T15</f>
        <v>5441248</v>
      </c>
      <c r="V15" s="23"/>
      <c r="W15" s="64"/>
      <c r="X15" s="23">
        <f t="shared" si="3"/>
        <v>5441248</v>
      </c>
    </row>
    <row r="16" spans="1:24" x14ac:dyDescent="0.25">
      <c r="A16" s="233"/>
      <c r="B16" s="26">
        <v>13</v>
      </c>
      <c r="C16" s="19" t="s">
        <v>56</v>
      </c>
      <c r="D16" s="20" t="s">
        <v>32</v>
      </c>
      <c r="E16" s="22">
        <v>6000000</v>
      </c>
      <c r="F16" s="22">
        <v>30</v>
      </c>
      <c r="G16" s="22">
        <f t="shared" ref="G16:G23" si="10">E16/30*F16</f>
        <v>6000000</v>
      </c>
      <c r="H16" s="22"/>
      <c r="I16" s="22"/>
      <c r="J16" s="22"/>
      <c r="K16" s="22">
        <f t="shared" si="0"/>
        <v>6000000</v>
      </c>
      <c r="L16" s="22">
        <f>+G16*4%</f>
        <v>240000</v>
      </c>
      <c r="M16" s="22">
        <f>+G16*5%</f>
        <v>300000</v>
      </c>
      <c r="N16" s="22"/>
      <c r="O16" s="58"/>
      <c r="P16" s="25">
        <v>241000</v>
      </c>
      <c r="Q16" s="22"/>
      <c r="R16" s="22"/>
      <c r="S16" s="22"/>
      <c r="T16" s="22">
        <f t="shared" si="2"/>
        <v>781000</v>
      </c>
      <c r="U16" s="23">
        <f>K16-T16</f>
        <v>5219000</v>
      </c>
      <c r="V16" s="23"/>
      <c r="W16" s="64"/>
      <c r="X16" s="23">
        <f t="shared" si="3"/>
        <v>5219000</v>
      </c>
    </row>
    <row r="17" spans="1:24" x14ac:dyDescent="0.25">
      <c r="A17" s="233"/>
      <c r="B17" s="26">
        <v>14</v>
      </c>
      <c r="C17" s="19" t="s">
        <v>192</v>
      </c>
      <c r="D17" s="20" t="s">
        <v>32</v>
      </c>
      <c r="E17" s="22">
        <v>5500000</v>
      </c>
      <c r="F17" s="22">
        <v>30</v>
      </c>
      <c r="G17" s="22">
        <f t="shared" si="10"/>
        <v>5500000</v>
      </c>
      <c r="H17" s="22"/>
      <c r="I17" s="22">
        <v>450000</v>
      </c>
      <c r="J17" s="22"/>
      <c r="K17" s="22">
        <f t="shared" ref="K17" si="11">SUM(G17:I17)+J17</f>
        <v>5950000</v>
      </c>
      <c r="L17" s="22">
        <f t="shared" ref="L17" si="12">+G17*4%</f>
        <v>220000</v>
      </c>
      <c r="M17" s="22">
        <f t="shared" ref="M17" si="13">+G17*5%</f>
        <v>275000</v>
      </c>
      <c r="N17" s="22"/>
      <c r="O17" s="58"/>
      <c r="P17" s="25">
        <v>116000</v>
      </c>
      <c r="Q17" s="22"/>
      <c r="R17" s="22"/>
      <c r="S17" s="22"/>
      <c r="T17" s="22">
        <f t="shared" ref="T17" si="14">SUM(L17:S17)</f>
        <v>611000</v>
      </c>
      <c r="U17" s="23">
        <f>K17-T17</f>
        <v>5339000</v>
      </c>
      <c r="V17" s="23"/>
      <c r="W17" s="64"/>
      <c r="X17" s="23">
        <f t="shared" si="3"/>
        <v>5339000</v>
      </c>
    </row>
    <row r="18" spans="1:24" x14ac:dyDescent="0.25">
      <c r="A18" s="233"/>
      <c r="B18" s="26">
        <v>15</v>
      </c>
      <c r="C18" s="19" t="s">
        <v>59</v>
      </c>
      <c r="D18" s="20" t="s">
        <v>32</v>
      </c>
      <c r="E18" s="22">
        <v>4472600</v>
      </c>
      <c r="F18" s="22">
        <v>30</v>
      </c>
      <c r="G18" s="22">
        <f t="shared" si="10"/>
        <v>4472600</v>
      </c>
      <c r="H18" s="22"/>
      <c r="I18" s="22">
        <v>1621317</v>
      </c>
      <c r="J18" s="22"/>
      <c r="K18" s="22">
        <f t="shared" si="0"/>
        <v>6093917</v>
      </c>
      <c r="L18" s="22">
        <f t="shared" si="1"/>
        <v>178904</v>
      </c>
      <c r="M18" s="22">
        <f t="shared" si="5"/>
        <v>223630</v>
      </c>
      <c r="N18" s="22"/>
      <c r="O18" s="58">
        <v>43100</v>
      </c>
      <c r="P18" s="25">
        <v>50000</v>
      </c>
      <c r="Q18" s="22">
        <v>800000</v>
      </c>
      <c r="R18" s="22"/>
      <c r="S18" s="22">
        <f>884747</f>
        <v>884747</v>
      </c>
      <c r="T18" s="22">
        <f t="shared" si="2"/>
        <v>2180381</v>
      </c>
      <c r="U18" s="23">
        <f>+K18-T18</f>
        <v>3913536</v>
      </c>
      <c r="V18" s="23"/>
      <c r="W18" s="64"/>
      <c r="X18" s="23">
        <f t="shared" si="3"/>
        <v>3913536</v>
      </c>
    </row>
    <row r="19" spans="1:24" x14ac:dyDescent="0.25">
      <c r="A19" s="233"/>
      <c r="B19" s="26">
        <v>16</v>
      </c>
      <c r="C19" s="19" t="s">
        <v>61</v>
      </c>
      <c r="D19" s="20" t="s">
        <v>32</v>
      </c>
      <c r="E19" s="22">
        <v>4000000</v>
      </c>
      <c r="F19" s="22">
        <v>30</v>
      </c>
      <c r="G19" s="22">
        <f t="shared" si="10"/>
        <v>4000000.0000000005</v>
      </c>
      <c r="H19" s="22"/>
      <c r="I19" s="22"/>
      <c r="J19" s="22"/>
      <c r="K19" s="22">
        <f t="shared" si="0"/>
        <v>4000000.0000000005</v>
      </c>
      <c r="L19" s="22">
        <f t="shared" si="1"/>
        <v>160000.00000000003</v>
      </c>
      <c r="M19" s="22">
        <f t="shared" si="5"/>
        <v>200000.00000000003</v>
      </c>
      <c r="N19" s="22"/>
      <c r="O19" s="58">
        <v>36000</v>
      </c>
      <c r="P19" s="25">
        <v>31000</v>
      </c>
      <c r="Q19" s="22"/>
      <c r="R19" s="22"/>
      <c r="S19" s="22"/>
      <c r="T19" s="22">
        <f t="shared" si="2"/>
        <v>427000.00000000006</v>
      </c>
      <c r="U19" s="23">
        <f>+K19-T19</f>
        <v>3573000.0000000005</v>
      </c>
      <c r="V19" s="23"/>
      <c r="W19" s="64"/>
      <c r="X19" s="23">
        <f t="shared" si="3"/>
        <v>3573000.0000000005</v>
      </c>
    </row>
    <row r="20" spans="1:24" x14ac:dyDescent="0.25">
      <c r="A20" s="233"/>
      <c r="B20" s="26">
        <v>17</v>
      </c>
      <c r="C20" s="19" t="s">
        <v>203</v>
      </c>
      <c r="D20" s="20" t="s">
        <v>32</v>
      </c>
      <c r="E20" s="22">
        <v>5000000</v>
      </c>
      <c r="F20" s="22">
        <v>30</v>
      </c>
      <c r="G20" s="22">
        <f t="shared" si="10"/>
        <v>5000000</v>
      </c>
      <c r="H20" s="22"/>
      <c r="I20" s="22"/>
      <c r="J20" s="22"/>
      <c r="K20" s="22">
        <f t="shared" ref="K20:K21" si="15">SUM(G20:I20)+J20</f>
        <v>5000000</v>
      </c>
      <c r="L20" s="22">
        <f t="shared" si="1"/>
        <v>200000</v>
      </c>
      <c r="M20" s="22">
        <f>+E20*5%</f>
        <v>250000</v>
      </c>
      <c r="N20" s="22"/>
      <c r="O20" s="58">
        <v>68000</v>
      </c>
      <c r="P20" s="25">
        <v>140000</v>
      </c>
      <c r="Q20" s="22"/>
      <c r="R20" s="22"/>
      <c r="S20" s="22"/>
      <c r="T20" s="22">
        <f t="shared" ref="T20:T21" si="16">SUM(L20:S20)</f>
        <v>658000</v>
      </c>
      <c r="U20" s="23">
        <f>+K20-T20</f>
        <v>4342000</v>
      </c>
      <c r="V20" s="23"/>
      <c r="W20" s="64"/>
      <c r="X20" s="23">
        <f t="shared" si="3"/>
        <v>4342000</v>
      </c>
    </row>
    <row r="21" spans="1:24" x14ac:dyDescent="0.25">
      <c r="A21" s="233"/>
      <c r="B21" s="26">
        <v>18</v>
      </c>
      <c r="C21" s="19" t="s">
        <v>219</v>
      </c>
      <c r="D21" s="20" t="s">
        <v>32</v>
      </c>
      <c r="E21" s="22">
        <v>4500000</v>
      </c>
      <c r="F21" s="22">
        <v>25</v>
      </c>
      <c r="G21" s="22">
        <f t="shared" si="10"/>
        <v>3750000</v>
      </c>
      <c r="H21" s="22"/>
      <c r="I21" s="22"/>
      <c r="J21" s="22"/>
      <c r="K21" s="22">
        <f t="shared" si="15"/>
        <v>3750000</v>
      </c>
      <c r="L21" s="22">
        <f>+G21*4%</f>
        <v>150000</v>
      </c>
      <c r="M21" s="22">
        <f>+G21*5%</f>
        <v>187500</v>
      </c>
      <c r="N21" s="22"/>
      <c r="O21" s="58"/>
      <c r="P21" s="25">
        <v>60000</v>
      </c>
      <c r="Q21" s="22"/>
      <c r="R21" s="22"/>
      <c r="S21" s="22"/>
      <c r="T21" s="22">
        <f t="shared" si="16"/>
        <v>397500</v>
      </c>
      <c r="U21" s="23">
        <f>+K21-T21</f>
        <v>3352500</v>
      </c>
      <c r="V21" s="23"/>
      <c r="W21" s="64"/>
      <c r="X21" s="23">
        <f t="shared" si="3"/>
        <v>3352500</v>
      </c>
    </row>
    <row r="22" spans="1:24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58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64"/>
      <c r="X22" s="23">
        <f t="shared" si="3"/>
        <v>4534824.25</v>
      </c>
    </row>
    <row r="23" spans="1:24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17</v>
      </c>
      <c r="G23" s="22">
        <f t="shared" si="10"/>
        <v>2550000</v>
      </c>
      <c r="H23" s="22">
        <v>1300065</v>
      </c>
      <c r="I23" s="22">
        <v>300000</v>
      </c>
      <c r="J23" s="22"/>
      <c r="K23" s="22">
        <f t="shared" si="0"/>
        <v>4150065</v>
      </c>
      <c r="L23" s="22">
        <v>180000</v>
      </c>
      <c r="M23" s="22">
        <v>225000</v>
      </c>
      <c r="N23" s="22"/>
      <c r="O23" s="58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3646065</v>
      </c>
      <c r="V23" s="23"/>
      <c r="W23" s="64"/>
      <c r="X23" s="23">
        <f t="shared" si="3"/>
        <v>3646065</v>
      </c>
    </row>
    <row r="24" spans="1:24" x14ac:dyDescent="0.25">
      <c r="A24" s="233"/>
      <c r="B24" s="26">
        <v>21</v>
      </c>
      <c r="C24" s="19" t="s">
        <v>65</v>
      </c>
      <c r="D24" s="20" t="s">
        <v>32</v>
      </c>
      <c r="E24" s="22">
        <v>4500000</v>
      </c>
      <c r="F24" s="22">
        <v>7</v>
      </c>
      <c r="G24" s="22">
        <f t="shared" ref="G24:G46" si="17">+E24/30*F24</f>
        <v>1050000</v>
      </c>
      <c r="H24" s="22"/>
      <c r="I24" s="22"/>
      <c r="J24" s="22"/>
      <c r="K24" s="22">
        <f t="shared" si="0"/>
        <v>1050000</v>
      </c>
      <c r="L24" s="22">
        <v>42000</v>
      </c>
      <c r="M24" s="22">
        <v>52500</v>
      </c>
      <c r="N24" s="22"/>
      <c r="O24" s="58"/>
      <c r="P24" s="25">
        <v>48000</v>
      </c>
      <c r="Q24" s="22"/>
      <c r="R24" s="22"/>
      <c r="S24" s="22">
        <v>209579</v>
      </c>
      <c r="T24" s="22">
        <f t="shared" si="2"/>
        <v>352079</v>
      </c>
      <c r="U24" s="23">
        <f>K24-T24</f>
        <v>697921</v>
      </c>
      <c r="V24" s="23"/>
      <c r="W24" s="64"/>
      <c r="X24" s="23">
        <f t="shared" si="3"/>
        <v>697921</v>
      </c>
    </row>
    <row r="25" spans="1:24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58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58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64"/>
      <c r="X26" s="23">
        <f t="shared" si="3"/>
        <v>4420146</v>
      </c>
    </row>
    <row r="27" spans="1:24" x14ac:dyDescent="0.25">
      <c r="A27" s="233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58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64"/>
      <c r="X27" s="23">
        <f t="shared" si="3"/>
        <v>3584143</v>
      </c>
    </row>
    <row r="28" spans="1:24" x14ac:dyDescent="0.25">
      <c r="A28" s="233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58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58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64"/>
      <c r="X29" s="23">
        <f t="shared" si="3"/>
        <v>3805644</v>
      </c>
    </row>
    <row r="30" spans="1:24" ht="24" x14ac:dyDescent="0.25">
      <c r="A30" s="233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4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58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7"/>
        <v>6900000</v>
      </c>
      <c r="H31" s="22"/>
      <c r="I31" s="22">
        <v>1500000</v>
      </c>
      <c r="J31" s="22"/>
      <c r="K31" s="22">
        <f t="shared" si="19"/>
        <v>8400000</v>
      </c>
      <c r="L31" s="22">
        <v>276000</v>
      </c>
      <c r="M31" s="22">
        <v>345000</v>
      </c>
      <c r="N31" s="22"/>
      <c r="O31" s="58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7434000</v>
      </c>
      <c r="V31" s="23"/>
      <c r="W31" s="64"/>
      <c r="X31" s="23">
        <f t="shared" si="3"/>
        <v>7434000</v>
      </c>
    </row>
    <row r="32" spans="1:24" x14ac:dyDescent="0.25">
      <c r="A32" s="233"/>
      <c r="B32" s="26">
        <v>29</v>
      </c>
      <c r="C32" s="30" t="s">
        <v>220</v>
      </c>
      <c r="D32" s="26" t="s">
        <v>32</v>
      </c>
      <c r="E32" s="22">
        <v>4500000</v>
      </c>
      <c r="F32" s="22">
        <v>19</v>
      </c>
      <c r="G32" s="22">
        <f t="shared" si="17"/>
        <v>2850000</v>
      </c>
      <c r="H32" s="22"/>
      <c r="I32" s="22"/>
      <c r="J32" s="22"/>
      <c r="K32" s="22">
        <f t="shared" ref="K32" si="20">SUM(G32:I32)+J32</f>
        <v>2850000</v>
      </c>
      <c r="L32" s="22">
        <f>+G32*4%</f>
        <v>114000</v>
      </c>
      <c r="M32" s="22">
        <f>+G32*5%</f>
        <v>142500</v>
      </c>
      <c r="N32" s="22"/>
      <c r="O32" s="58">
        <v>8000</v>
      </c>
      <c r="P32" s="22">
        <v>3000</v>
      </c>
      <c r="Q32" s="22"/>
      <c r="R32" s="22"/>
      <c r="S32" s="22"/>
      <c r="T32" s="22">
        <f t="shared" ref="T32" si="21">SUM(L32:S32)</f>
        <v>267500</v>
      </c>
      <c r="U32" s="23">
        <f>K32-T32</f>
        <v>2582500</v>
      </c>
      <c r="V32" s="23"/>
      <c r="W32" s="64"/>
      <c r="X32" s="23">
        <f t="shared" si="3"/>
        <v>2582500</v>
      </c>
    </row>
    <row r="33" spans="1:24" x14ac:dyDescent="0.25">
      <c r="A33" s="233"/>
      <c r="B33" s="26">
        <v>30</v>
      </c>
      <c r="C33" s="19" t="s">
        <v>92</v>
      </c>
      <c r="D33" s="20" t="s">
        <v>32</v>
      </c>
      <c r="E33" s="22">
        <v>5000000</v>
      </c>
      <c r="F33" s="22">
        <v>30</v>
      </c>
      <c r="G33" s="22">
        <f t="shared" si="17"/>
        <v>5000000</v>
      </c>
      <c r="H33" s="22"/>
      <c r="I33" s="22"/>
      <c r="J33" s="22"/>
      <c r="K33" s="22">
        <f t="shared" si="19"/>
        <v>5000000</v>
      </c>
      <c r="L33" s="22">
        <f t="shared" si="1"/>
        <v>200000</v>
      </c>
      <c r="M33" s="22">
        <f t="shared" si="5"/>
        <v>250000</v>
      </c>
      <c r="N33" s="22"/>
      <c r="O33" s="58"/>
      <c r="P33" s="22">
        <v>139833</v>
      </c>
      <c r="Q33" s="22"/>
      <c r="R33" s="22"/>
      <c r="S33" s="22"/>
      <c r="T33" s="22">
        <f>SUM(L33:S33)</f>
        <v>589833</v>
      </c>
      <c r="U33" s="23">
        <f t="shared" ref="U33:U38" si="22">+K33-T33</f>
        <v>4410167</v>
      </c>
      <c r="V33" s="23"/>
      <c r="W33" s="64"/>
      <c r="X33" s="23">
        <f t="shared" si="3"/>
        <v>4410167</v>
      </c>
    </row>
    <row r="34" spans="1:24" x14ac:dyDescent="0.25">
      <c r="A34" s="233"/>
      <c r="B34" s="26">
        <v>31</v>
      </c>
      <c r="C34" s="19" t="s">
        <v>78</v>
      </c>
      <c r="D34" s="20" t="s">
        <v>32</v>
      </c>
      <c r="E34" s="22">
        <v>4000000</v>
      </c>
      <c r="F34" s="22">
        <v>25</v>
      </c>
      <c r="G34" s="22">
        <f t="shared" si="17"/>
        <v>3333333.3333333335</v>
      </c>
      <c r="H34" s="22"/>
      <c r="I34" s="22"/>
      <c r="J34" s="22">
        <f>+E34-G34</f>
        <v>666666.66666666651</v>
      </c>
      <c r="K34" s="22">
        <f t="shared" si="19"/>
        <v>4000000</v>
      </c>
      <c r="L34" s="22">
        <f>+E34*4%</f>
        <v>160000</v>
      </c>
      <c r="M34" s="22">
        <f>+E34*5%</f>
        <v>200000</v>
      </c>
      <c r="N34" s="22"/>
      <c r="O34" s="58"/>
      <c r="P34" s="22">
        <v>0</v>
      </c>
      <c r="Q34" s="22"/>
      <c r="R34" s="22">
        <v>510000</v>
      </c>
      <c r="T34" s="22">
        <f>SUM(L34:S34)</f>
        <v>870000</v>
      </c>
      <c r="U34" s="23">
        <f t="shared" si="22"/>
        <v>3130000</v>
      </c>
      <c r="V34" s="23"/>
      <c r="W34" s="64"/>
      <c r="X34" s="23">
        <f t="shared" si="3"/>
        <v>3130000</v>
      </c>
    </row>
    <row r="35" spans="1:24" ht="26.25" customHeight="1" x14ac:dyDescent="0.25">
      <c r="A35" s="233"/>
      <c r="B35" s="26">
        <v>32</v>
      </c>
      <c r="C35" s="19" t="s">
        <v>87</v>
      </c>
      <c r="D35" s="20" t="s">
        <v>32</v>
      </c>
      <c r="E35" s="22">
        <v>4500000</v>
      </c>
      <c r="F35" s="22">
        <v>30</v>
      </c>
      <c r="G35" s="22">
        <f t="shared" si="17"/>
        <v>4500000</v>
      </c>
      <c r="H35" s="22"/>
      <c r="I35" s="22"/>
      <c r="J35" s="22"/>
      <c r="K35" s="22">
        <f t="shared" si="19"/>
        <v>4500000</v>
      </c>
      <c r="L35" s="22">
        <f t="shared" si="1"/>
        <v>180000</v>
      </c>
      <c r="M35" s="22">
        <f t="shared" si="5"/>
        <v>225000</v>
      </c>
      <c r="N35" s="22"/>
      <c r="O35" s="58"/>
      <c r="P35" s="22">
        <v>99000</v>
      </c>
      <c r="Q35" s="22"/>
      <c r="R35" s="22"/>
      <c r="S35" s="22"/>
      <c r="T35" s="22">
        <f t="shared" si="2"/>
        <v>504000</v>
      </c>
      <c r="U35" s="23">
        <f t="shared" si="22"/>
        <v>3996000</v>
      </c>
      <c r="V35" s="23"/>
      <c r="W35" s="64"/>
      <c r="X35" s="23">
        <f t="shared" si="3"/>
        <v>3996000</v>
      </c>
    </row>
    <row r="36" spans="1:24" ht="26.25" customHeight="1" x14ac:dyDescent="0.25">
      <c r="A36" s="233"/>
      <c r="B36" s="26">
        <v>33</v>
      </c>
      <c r="C36" s="19" t="s">
        <v>193</v>
      </c>
      <c r="D36" s="20" t="s">
        <v>32</v>
      </c>
      <c r="E36" s="22">
        <v>4250000</v>
      </c>
      <c r="F36" s="22">
        <v>30</v>
      </c>
      <c r="G36" s="22">
        <f t="shared" si="17"/>
        <v>4250000</v>
      </c>
      <c r="H36" s="22"/>
      <c r="I36" s="22"/>
      <c r="J36" s="22"/>
      <c r="K36" s="22">
        <f t="shared" ref="K36" si="23">SUM(G36:I36)+J36</f>
        <v>4250000</v>
      </c>
      <c r="L36" s="22">
        <f>+G36*4%</f>
        <v>170000</v>
      </c>
      <c r="M36" s="22">
        <f>+G36*5%</f>
        <v>212500</v>
      </c>
      <c r="N36" s="22"/>
      <c r="O36" s="58"/>
      <c r="P36" s="22">
        <v>38000</v>
      </c>
      <c r="Q36" s="22"/>
      <c r="R36" s="22"/>
      <c r="S36" s="22"/>
      <c r="T36" s="22">
        <f t="shared" ref="T36" si="24">SUM(L36:S36)</f>
        <v>420500</v>
      </c>
      <c r="U36" s="23">
        <f t="shared" si="22"/>
        <v>3829500</v>
      </c>
      <c r="V36" s="23"/>
      <c r="W36" s="64"/>
      <c r="X36" s="23">
        <f t="shared" si="3"/>
        <v>3829500</v>
      </c>
    </row>
    <row r="37" spans="1:24" ht="24" x14ac:dyDescent="0.25">
      <c r="A37" s="233"/>
      <c r="B37" s="26">
        <v>34</v>
      </c>
      <c r="C37" s="19" t="s">
        <v>89</v>
      </c>
      <c r="D37" s="20" t="s">
        <v>32</v>
      </c>
      <c r="E37" s="22">
        <v>3000000</v>
      </c>
      <c r="F37" s="22">
        <v>30</v>
      </c>
      <c r="G37" s="22">
        <f t="shared" si="17"/>
        <v>3000000</v>
      </c>
      <c r="H37" s="22"/>
      <c r="I37" s="22"/>
      <c r="J37" s="22"/>
      <c r="K37" s="22">
        <f t="shared" si="19"/>
        <v>3000000</v>
      </c>
      <c r="L37" s="22">
        <f t="shared" si="1"/>
        <v>120000</v>
      </c>
      <c r="M37" s="22">
        <f t="shared" si="5"/>
        <v>150000</v>
      </c>
      <c r="N37" s="22"/>
      <c r="O37" s="58"/>
      <c r="P37" s="22"/>
      <c r="Q37" s="22"/>
      <c r="R37" s="22"/>
      <c r="S37" s="22"/>
      <c r="T37" s="22">
        <f t="shared" si="2"/>
        <v>270000</v>
      </c>
      <c r="U37" s="23">
        <f t="shared" si="22"/>
        <v>2730000</v>
      </c>
      <c r="V37" s="23"/>
      <c r="W37" s="64"/>
      <c r="X37" s="23">
        <f t="shared" si="3"/>
        <v>2730000</v>
      </c>
    </row>
    <row r="38" spans="1:24" x14ac:dyDescent="0.25">
      <c r="A38" s="233"/>
      <c r="B38" s="26">
        <v>35</v>
      </c>
      <c r="C38" s="19" t="s">
        <v>90</v>
      </c>
      <c r="D38" s="20" t="s">
        <v>32</v>
      </c>
      <c r="E38" s="22">
        <v>4500000</v>
      </c>
      <c r="F38" s="22">
        <v>30</v>
      </c>
      <c r="G38" s="22">
        <f t="shared" si="17"/>
        <v>4500000</v>
      </c>
      <c r="H38" s="22"/>
      <c r="I38" s="22">
        <v>300000</v>
      </c>
      <c r="J38" s="22"/>
      <c r="K38" s="22">
        <f t="shared" si="19"/>
        <v>4800000</v>
      </c>
      <c r="L38" s="22">
        <f t="shared" si="1"/>
        <v>180000</v>
      </c>
      <c r="M38" s="22">
        <f t="shared" si="5"/>
        <v>225000</v>
      </c>
      <c r="N38" s="22"/>
      <c r="O38" s="58">
        <v>36000</v>
      </c>
      <c r="P38" s="22">
        <v>8021</v>
      </c>
      <c r="Q38" s="22"/>
      <c r="R38" s="22">
        <v>538320</v>
      </c>
      <c r="S38" s="22"/>
      <c r="T38" s="22">
        <f t="shared" si="2"/>
        <v>987341</v>
      </c>
      <c r="U38" s="23">
        <f t="shared" si="22"/>
        <v>3812659</v>
      </c>
      <c r="V38" s="23"/>
      <c r="W38" s="64"/>
      <c r="X38" s="23">
        <f t="shared" si="3"/>
        <v>3812659</v>
      </c>
    </row>
    <row r="39" spans="1:24" ht="30.75" customHeight="1" x14ac:dyDescent="0.25">
      <c r="A39" s="233"/>
      <c r="B39" s="26">
        <v>36</v>
      </c>
      <c r="C39" s="19" t="s">
        <v>94</v>
      </c>
      <c r="D39" s="20" t="s">
        <v>32</v>
      </c>
      <c r="E39" s="22">
        <v>4815000</v>
      </c>
      <c r="F39" s="22">
        <v>30</v>
      </c>
      <c r="G39" s="22">
        <f t="shared" si="17"/>
        <v>4815000</v>
      </c>
      <c r="H39" s="22"/>
      <c r="I39" s="22">
        <v>350000</v>
      </c>
      <c r="J39" s="22">
        <f>+E39-G39</f>
        <v>0</v>
      </c>
      <c r="K39" s="22">
        <f t="shared" si="19"/>
        <v>5165000</v>
      </c>
      <c r="L39" s="22">
        <v>192600</v>
      </c>
      <c r="M39" s="22">
        <v>240750</v>
      </c>
      <c r="N39" s="22"/>
      <c r="O39" s="58"/>
      <c r="P39" s="22">
        <v>89000</v>
      </c>
      <c r="Q39" s="22"/>
      <c r="R39" s="22"/>
      <c r="S39" s="22"/>
      <c r="T39" s="22">
        <f t="shared" si="2"/>
        <v>522350</v>
      </c>
      <c r="U39" s="23">
        <f>K39-T39</f>
        <v>4642650</v>
      </c>
      <c r="V39" s="23"/>
      <c r="W39" s="64"/>
      <c r="X39" s="23">
        <f t="shared" si="3"/>
        <v>4642650</v>
      </c>
    </row>
    <row r="40" spans="1:24" x14ac:dyDescent="0.25">
      <c r="A40" s="233"/>
      <c r="B40" s="26">
        <v>37</v>
      </c>
      <c r="C40" s="19" t="s">
        <v>96</v>
      </c>
      <c r="D40" s="20" t="s">
        <v>32</v>
      </c>
      <c r="E40" s="22">
        <v>6900000</v>
      </c>
      <c r="F40" s="22">
        <v>30</v>
      </c>
      <c r="G40" s="22">
        <f t="shared" si="17"/>
        <v>6900000</v>
      </c>
      <c r="H40" s="22"/>
      <c r="I40" s="22"/>
      <c r="J40" s="22"/>
      <c r="K40" s="22">
        <f t="shared" si="19"/>
        <v>6900000</v>
      </c>
      <c r="L40" s="22">
        <v>276000</v>
      </c>
      <c r="M40" s="22">
        <v>345000</v>
      </c>
      <c r="N40" s="22"/>
      <c r="O40" s="58"/>
      <c r="P40" s="22">
        <v>219000</v>
      </c>
      <c r="Q40" s="22"/>
      <c r="R40" s="22"/>
      <c r="S40" s="22"/>
      <c r="T40" s="22">
        <f t="shared" si="2"/>
        <v>840000</v>
      </c>
      <c r="U40" s="23">
        <f>K40-T40</f>
        <v>6060000</v>
      </c>
      <c r="V40" s="23"/>
      <c r="W40" s="64"/>
      <c r="X40" s="23">
        <f t="shared" si="3"/>
        <v>6060000</v>
      </c>
    </row>
    <row r="41" spans="1:24" x14ac:dyDescent="0.25">
      <c r="A41" s="234"/>
      <c r="B41" s="26">
        <v>38</v>
      </c>
      <c r="C41" s="19" t="s">
        <v>98</v>
      </c>
      <c r="D41" s="20" t="s">
        <v>32</v>
      </c>
      <c r="E41" s="22">
        <v>4000000</v>
      </c>
      <c r="F41" s="22">
        <v>30</v>
      </c>
      <c r="G41" s="22">
        <f t="shared" si="17"/>
        <v>4000000.0000000005</v>
      </c>
      <c r="H41" s="22"/>
      <c r="I41" s="22"/>
      <c r="J41" s="22"/>
      <c r="K41" s="22">
        <f t="shared" si="19"/>
        <v>4000000.0000000005</v>
      </c>
      <c r="L41" s="22">
        <v>160000</v>
      </c>
      <c r="M41" s="22">
        <v>200000</v>
      </c>
      <c r="N41" s="22"/>
      <c r="O41" s="58">
        <v>36000</v>
      </c>
      <c r="P41" s="22">
        <v>31000</v>
      </c>
      <c r="Q41" s="22"/>
      <c r="R41" s="22"/>
      <c r="S41" s="22"/>
      <c r="T41" s="22">
        <f t="shared" si="2"/>
        <v>427000</v>
      </c>
      <c r="U41" s="23">
        <f>K41-T41</f>
        <v>3573000.0000000005</v>
      </c>
      <c r="V41" s="23"/>
      <c r="W41" s="64"/>
      <c r="X41" s="23">
        <f t="shared" si="3"/>
        <v>3573000.0000000005</v>
      </c>
    </row>
    <row r="42" spans="1:24" x14ac:dyDescent="0.25">
      <c r="A42" s="235" t="s">
        <v>99</v>
      </c>
      <c r="B42" s="26">
        <v>39</v>
      </c>
      <c r="C42" s="19" t="s">
        <v>100</v>
      </c>
      <c r="D42" s="20" t="s">
        <v>32</v>
      </c>
      <c r="E42" s="22">
        <v>3000000</v>
      </c>
      <c r="F42" s="22">
        <v>30</v>
      </c>
      <c r="G42" s="22">
        <f t="shared" si="17"/>
        <v>3000000</v>
      </c>
      <c r="H42" s="22"/>
      <c r="I42" s="22">
        <v>250000</v>
      </c>
      <c r="J42" s="22">
        <f>+E42-G42</f>
        <v>0</v>
      </c>
      <c r="K42" s="22">
        <f t="shared" si="19"/>
        <v>3250000</v>
      </c>
      <c r="L42" s="22">
        <v>120000</v>
      </c>
      <c r="M42" s="22">
        <v>150000</v>
      </c>
      <c r="N42" s="22"/>
      <c r="O42" s="58">
        <v>36000</v>
      </c>
      <c r="P42" s="25">
        <v>0</v>
      </c>
      <c r="Q42" s="22"/>
      <c r="R42" s="22">
        <v>163485</v>
      </c>
      <c r="S42" s="22"/>
      <c r="T42" s="22">
        <f t="shared" si="2"/>
        <v>469485</v>
      </c>
      <c r="U42" s="23">
        <f>+K42-T42</f>
        <v>2780515</v>
      </c>
      <c r="V42" s="23"/>
      <c r="W42" s="64"/>
      <c r="X42" s="23">
        <f t="shared" si="3"/>
        <v>2780515</v>
      </c>
    </row>
    <row r="43" spans="1:24" ht="25.5" customHeight="1" x14ac:dyDescent="0.25">
      <c r="A43" s="235"/>
      <c r="B43" s="26">
        <v>40</v>
      </c>
      <c r="C43" s="19" t="s">
        <v>103</v>
      </c>
      <c r="D43" s="20" t="s">
        <v>32</v>
      </c>
      <c r="E43" s="22">
        <v>689455</v>
      </c>
      <c r="F43" s="22">
        <v>30</v>
      </c>
      <c r="G43" s="22">
        <f>+E43/30*F43</f>
        <v>689455</v>
      </c>
      <c r="H43" s="22"/>
      <c r="I43" s="22"/>
      <c r="J43" s="22">
        <v>200000</v>
      </c>
      <c r="K43" s="22">
        <f t="shared" si="19"/>
        <v>889455</v>
      </c>
      <c r="L43" s="22"/>
      <c r="M43" s="22"/>
      <c r="N43" s="22"/>
      <c r="O43" s="58"/>
      <c r="P43" s="25"/>
      <c r="Q43" s="22"/>
      <c r="R43" s="22"/>
      <c r="S43" s="22"/>
      <c r="T43" s="22">
        <f t="shared" si="2"/>
        <v>0</v>
      </c>
      <c r="U43" s="23">
        <f>+K43-T43</f>
        <v>889455</v>
      </c>
      <c r="V43" s="23"/>
      <c r="W43" s="64"/>
      <c r="X43" s="23">
        <f t="shared" si="3"/>
        <v>889455</v>
      </c>
    </row>
    <row r="44" spans="1:24" x14ac:dyDescent="0.25">
      <c r="A44" s="235"/>
      <c r="B44" s="26">
        <v>41</v>
      </c>
      <c r="C44" s="30" t="s">
        <v>180</v>
      </c>
      <c r="D44" s="26" t="s">
        <v>32</v>
      </c>
      <c r="E44" s="22">
        <v>1200000</v>
      </c>
      <c r="F44" s="22">
        <v>30</v>
      </c>
      <c r="G44" s="22">
        <f t="shared" ref="G44" si="25">+E44/30*F44</f>
        <v>1200000</v>
      </c>
      <c r="H44" s="22">
        <f>+(77700/30)*F44</f>
        <v>77700</v>
      </c>
      <c r="I44" s="22"/>
      <c r="J44" s="22"/>
      <c r="K44" s="22">
        <f t="shared" ref="K44" si="26">SUM(G44:I44)+J44</f>
        <v>1277700</v>
      </c>
      <c r="L44" s="22">
        <f t="shared" ref="L44:L46" si="27">+G44*4%</f>
        <v>48000</v>
      </c>
      <c r="M44" s="22">
        <f>+G44*4%</f>
        <v>48000</v>
      </c>
      <c r="N44" s="22"/>
      <c r="O44" s="58">
        <v>36000</v>
      </c>
      <c r="P44" s="22"/>
      <c r="Q44" s="22"/>
      <c r="R44" s="22"/>
      <c r="S44" s="22"/>
      <c r="T44" s="22">
        <f t="shared" si="2"/>
        <v>132000</v>
      </c>
      <c r="U44" s="23">
        <f>K44-T44</f>
        <v>1145700</v>
      </c>
      <c r="V44" s="23"/>
      <c r="W44" s="64"/>
      <c r="X44" s="23">
        <f t="shared" si="3"/>
        <v>1145700</v>
      </c>
    </row>
    <row r="45" spans="1:24" ht="18" customHeight="1" x14ac:dyDescent="0.25">
      <c r="A45" s="235"/>
      <c r="B45" s="26">
        <v>42</v>
      </c>
      <c r="C45" s="19" t="s">
        <v>102</v>
      </c>
      <c r="D45" s="20" t="s">
        <v>32</v>
      </c>
      <c r="E45" s="22">
        <v>689455</v>
      </c>
      <c r="F45" s="22">
        <v>30</v>
      </c>
      <c r="G45" s="22">
        <f t="shared" si="17"/>
        <v>689455</v>
      </c>
      <c r="H45" s="22">
        <v>77700</v>
      </c>
      <c r="I45" s="22"/>
      <c r="J45" s="22"/>
      <c r="K45" s="22">
        <f t="shared" si="19"/>
        <v>767155</v>
      </c>
      <c r="L45" s="22">
        <f t="shared" si="27"/>
        <v>27578.2</v>
      </c>
      <c r="M45" s="22">
        <f>+G45*4%</f>
        <v>27578.2</v>
      </c>
      <c r="N45" s="22"/>
      <c r="O45" s="58"/>
      <c r="P45" s="25"/>
      <c r="Q45" s="22"/>
      <c r="R45" s="22"/>
      <c r="S45" s="22"/>
      <c r="T45" s="22">
        <f t="shared" ref="T45:T99" si="28">SUM(L45:S45)</f>
        <v>55156.4</v>
      </c>
      <c r="U45" s="23">
        <f>+K45-T45</f>
        <v>711998.6</v>
      </c>
      <c r="V45" s="23"/>
      <c r="W45" s="64"/>
      <c r="X45" s="23">
        <f t="shared" si="3"/>
        <v>711998.6</v>
      </c>
    </row>
    <row r="46" spans="1:24" x14ac:dyDescent="0.25">
      <c r="A46" s="235"/>
      <c r="B46" s="26">
        <v>43</v>
      </c>
      <c r="C46" s="30" t="s">
        <v>181</v>
      </c>
      <c r="D46" s="26" t="s">
        <v>32</v>
      </c>
      <c r="E46" s="22">
        <v>1200000</v>
      </c>
      <c r="F46" s="22">
        <v>30</v>
      </c>
      <c r="G46" s="22">
        <f t="shared" si="17"/>
        <v>1200000</v>
      </c>
      <c r="H46" s="22">
        <f>+(77700/30)*F46</f>
        <v>77700</v>
      </c>
      <c r="I46" s="22"/>
      <c r="J46" s="22"/>
      <c r="K46" s="22">
        <f t="shared" ref="K46" si="29">SUM(G46:I46)+J46</f>
        <v>1277700</v>
      </c>
      <c r="L46" s="22">
        <f t="shared" si="27"/>
        <v>48000</v>
      </c>
      <c r="M46" s="22">
        <f>+G46*4%</f>
        <v>48000</v>
      </c>
      <c r="N46" s="22"/>
      <c r="O46" s="58">
        <v>36000</v>
      </c>
      <c r="P46" s="22"/>
      <c r="Q46" s="22"/>
      <c r="R46" s="22"/>
      <c r="S46" s="22"/>
      <c r="T46" s="22">
        <f t="shared" si="28"/>
        <v>132000</v>
      </c>
      <c r="U46" s="23">
        <f>K46-T46</f>
        <v>1145700</v>
      </c>
      <c r="V46" s="23"/>
      <c r="W46" s="64"/>
      <c r="X46" s="23">
        <f t="shared" si="3"/>
        <v>1145700</v>
      </c>
    </row>
    <row r="47" spans="1:24" x14ac:dyDescent="0.25">
      <c r="A47" s="235"/>
      <c r="B47" s="26">
        <v>44</v>
      </c>
      <c r="C47" s="19" t="s">
        <v>104</v>
      </c>
      <c r="D47" s="20" t="s">
        <v>105</v>
      </c>
      <c r="E47" s="22">
        <v>1100000</v>
      </c>
      <c r="F47" s="22">
        <v>30</v>
      </c>
      <c r="G47" s="22">
        <f>+E47/30*F47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v>44000</v>
      </c>
      <c r="M47" s="22">
        <v>44000</v>
      </c>
      <c r="N47" s="22"/>
      <c r="O47" s="58"/>
      <c r="P47" s="25"/>
      <c r="Q47" s="22"/>
      <c r="R47" s="22"/>
      <c r="S47" s="22"/>
      <c r="T47" s="22">
        <f>SUM(L47:S47)</f>
        <v>88000</v>
      </c>
      <c r="U47" s="23">
        <f>+K47-T47</f>
        <v>1089700</v>
      </c>
      <c r="V47" s="23"/>
      <c r="W47" s="64"/>
      <c r="X47" s="23">
        <f t="shared" si="3"/>
        <v>1089700</v>
      </c>
    </row>
    <row r="48" spans="1:24" ht="24" x14ac:dyDescent="0.25">
      <c r="A48" s="235"/>
      <c r="B48" s="26">
        <v>45</v>
      </c>
      <c r="C48" s="19" t="s">
        <v>212</v>
      </c>
      <c r="D48" s="20" t="s">
        <v>32</v>
      </c>
      <c r="E48" s="22">
        <v>1100000</v>
      </c>
      <c r="F48" s="22">
        <v>30</v>
      </c>
      <c r="G48" s="22">
        <f t="shared" ref="G48" si="30">+E48/30*F48</f>
        <v>1100000</v>
      </c>
      <c r="H48" s="22">
        <v>77700</v>
      </c>
      <c r="I48" s="22"/>
      <c r="J48" s="22"/>
      <c r="K48" s="22">
        <f t="shared" ref="K48" si="31">SUM(G48:I48)+J48</f>
        <v>1177700</v>
      </c>
      <c r="L48" s="22">
        <f t="shared" ref="L48:L51" si="32">+G48*4%</f>
        <v>44000</v>
      </c>
      <c r="M48" s="22">
        <f t="shared" ref="M48:M50" si="33">+G48*4%</f>
        <v>44000</v>
      </c>
      <c r="N48" s="22"/>
      <c r="O48" s="58"/>
      <c r="P48" s="25"/>
      <c r="Q48" s="22"/>
      <c r="R48" s="22"/>
      <c r="S48" s="22"/>
      <c r="T48" s="22">
        <f t="shared" ref="T48" si="34">SUM(L48:S48)</f>
        <v>88000</v>
      </c>
      <c r="U48" s="23">
        <f t="shared" ref="U48:U55" si="35">+K48-T48</f>
        <v>1089700</v>
      </c>
      <c r="V48" s="23"/>
      <c r="W48" s="64"/>
      <c r="X48" s="23">
        <f t="shared" si="3"/>
        <v>1089700</v>
      </c>
    </row>
    <row r="49" spans="1:27" ht="21.75" customHeight="1" x14ac:dyDescent="0.25">
      <c r="A49" s="235"/>
      <c r="B49" s="26">
        <v>46</v>
      </c>
      <c r="C49" s="19" t="s">
        <v>106</v>
      </c>
      <c r="D49" s="20" t="s">
        <v>32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9"/>
        <v>1177700</v>
      </c>
      <c r="L49" s="22">
        <f t="shared" si="32"/>
        <v>44000</v>
      </c>
      <c r="M49" s="22">
        <f t="shared" si="33"/>
        <v>44000</v>
      </c>
      <c r="N49" s="22"/>
      <c r="O49" s="58">
        <v>26500</v>
      </c>
      <c r="P49" s="22">
        <v>0</v>
      </c>
      <c r="Q49" s="22"/>
      <c r="R49" s="22"/>
      <c r="S49" s="22"/>
      <c r="T49" s="22">
        <f t="shared" si="28"/>
        <v>114500</v>
      </c>
      <c r="U49" s="23">
        <f t="shared" si="35"/>
        <v>1063200</v>
      </c>
      <c r="V49" s="23"/>
      <c r="W49" s="64"/>
      <c r="X49" s="23">
        <f t="shared" si="3"/>
        <v>1063200</v>
      </c>
    </row>
    <row r="50" spans="1:27" x14ac:dyDescent="0.25">
      <c r="A50" s="235"/>
      <c r="B50" s="26">
        <v>47</v>
      </c>
      <c r="C50" s="19" t="s">
        <v>182</v>
      </c>
      <c r="D50" s="20" t="s">
        <v>32</v>
      </c>
      <c r="E50" s="22">
        <v>689454</v>
      </c>
      <c r="F50" s="22">
        <v>30</v>
      </c>
      <c r="G50" s="22">
        <f t="shared" ref="G50" si="36">+E50/30*F50</f>
        <v>689454</v>
      </c>
      <c r="H50" s="22">
        <v>77700</v>
      </c>
      <c r="I50" s="22"/>
      <c r="J50" s="22"/>
      <c r="K50" s="22">
        <f t="shared" ref="K50" si="37">SUM(G50:I50)+J50</f>
        <v>767154</v>
      </c>
      <c r="L50" s="22">
        <f t="shared" si="32"/>
        <v>27578.16</v>
      </c>
      <c r="M50" s="22">
        <f t="shared" si="33"/>
        <v>27578.16</v>
      </c>
      <c r="N50" s="22"/>
      <c r="O50" s="58"/>
      <c r="P50" s="25"/>
      <c r="Q50" s="22"/>
      <c r="R50" s="22"/>
      <c r="S50" s="22"/>
      <c r="T50" s="22">
        <f t="shared" si="28"/>
        <v>55156.32</v>
      </c>
      <c r="U50" s="23">
        <f t="shared" si="35"/>
        <v>711997.68</v>
      </c>
      <c r="V50" s="23"/>
      <c r="W50" s="64"/>
      <c r="X50" s="23">
        <f t="shared" si="3"/>
        <v>711997.68</v>
      </c>
    </row>
    <row r="51" spans="1:27" ht="17.25" customHeight="1" x14ac:dyDescent="0.25">
      <c r="A51" s="235"/>
      <c r="B51" s="26">
        <v>48</v>
      </c>
      <c r="C51" s="19" t="s">
        <v>195</v>
      </c>
      <c r="D51" s="20" t="s">
        <v>32</v>
      </c>
      <c r="E51" s="22">
        <v>3500000</v>
      </c>
      <c r="F51" s="22">
        <v>30</v>
      </c>
      <c r="G51" s="22">
        <f>(E51/30*F51)</f>
        <v>3500000</v>
      </c>
      <c r="H51" s="22"/>
      <c r="I51" s="22">
        <v>500000</v>
      </c>
      <c r="J51" s="22"/>
      <c r="K51" s="22">
        <f t="shared" ref="K51" si="38">SUM(G51:I51)+J51</f>
        <v>4000000</v>
      </c>
      <c r="L51" s="22">
        <f t="shared" si="32"/>
        <v>140000</v>
      </c>
      <c r="M51" s="22">
        <f>+G51*5%</f>
        <v>175000</v>
      </c>
      <c r="N51" s="22"/>
      <c r="O51" s="58"/>
      <c r="P51" s="22">
        <v>0</v>
      </c>
      <c r="Q51" s="22"/>
      <c r="R51" s="22"/>
      <c r="S51" s="22"/>
      <c r="T51" s="22">
        <f t="shared" ref="T51" si="39">SUM(L51:S51)</f>
        <v>315000</v>
      </c>
      <c r="U51" s="23">
        <f t="shared" si="35"/>
        <v>3685000</v>
      </c>
      <c r="V51" s="23"/>
      <c r="W51" s="64"/>
      <c r="X51" s="23">
        <f t="shared" si="3"/>
        <v>3685000</v>
      </c>
    </row>
    <row r="52" spans="1:27" ht="17.25" customHeight="1" x14ac:dyDescent="0.25">
      <c r="A52" s="235"/>
      <c r="B52" s="26">
        <v>49</v>
      </c>
      <c r="C52" s="19" t="s">
        <v>107</v>
      </c>
      <c r="D52" s="20" t="s">
        <v>32</v>
      </c>
      <c r="E52" s="22">
        <v>1500000</v>
      </c>
      <c r="F52" s="22">
        <v>30</v>
      </c>
      <c r="G52" s="22">
        <f>(E52/30*F52)</f>
        <v>1500000</v>
      </c>
      <c r="H52" s="22"/>
      <c r="I52" s="22"/>
      <c r="J52" s="22"/>
      <c r="K52" s="22">
        <f t="shared" si="19"/>
        <v>1500000</v>
      </c>
      <c r="L52" s="22">
        <f>+E52*4%</f>
        <v>60000</v>
      </c>
      <c r="M52" s="22">
        <v>60000</v>
      </c>
      <c r="N52" s="22"/>
      <c r="O52" s="58"/>
      <c r="P52" s="22">
        <v>0</v>
      </c>
      <c r="Q52" s="22"/>
      <c r="R52" s="22"/>
      <c r="S52" s="22"/>
      <c r="T52" s="22">
        <f t="shared" si="28"/>
        <v>120000</v>
      </c>
      <c r="U52" s="23">
        <f t="shared" si="35"/>
        <v>1380000</v>
      </c>
      <c r="V52" s="23"/>
      <c r="W52" s="64"/>
      <c r="X52" s="23">
        <f t="shared" si="3"/>
        <v>1380000</v>
      </c>
    </row>
    <row r="53" spans="1:27" ht="17.25" customHeight="1" x14ac:dyDescent="0.25">
      <c r="A53" s="235"/>
      <c r="B53" s="26">
        <v>50</v>
      </c>
      <c r="C53" s="19" t="s">
        <v>201</v>
      </c>
      <c r="D53" s="20" t="s">
        <v>32</v>
      </c>
      <c r="E53" s="22">
        <v>1000000</v>
      </c>
      <c r="F53" s="22">
        <v>30</v>
      </c>
      <c r="G53" s="22">
        <f>E53/30*F53</f>
        <v>1000000.0000000001</v>
      </c>
      <c r="H53" s="22">
        <f>+(77700/30)*30</f>
        <v>77700</v>
      </c>
      <c r="I53" s="22"/>
      <c r="J53" s="22"/>
      <c r="K53" s="22">
        <f t="shared" ref="K53" si="40">SUM(G53:I53)+J53</f>
        <v>1077700</v>
      </c>
      <c r="L53" s="22">
        <f t="shared" ref="L53:L54" si="41">+G53*4%</f>
        <v>40000.000000000007</v>
      </c>
      <c r="M53" s="22">
        <f t="shared" ref="M53:M54" si="42">+G53*4%</f>
        <v>40000.000000000007</v>
      </c>
      <c r="N53" s="22"/>
      <c r="O53" s="58"/>
      <c r="P53" s="22">
        <v>0</v>
      </c>
      <c r="Q53" s="22"/>
      <c r="R53" s="22"/>
      <c r="S53" s="22"/>
      <c r="T53" s="22">
        <f t="shared" si="28"/>
        <v>80000.000000000015</v>
      </c>
      <c r="U53" s="23">
        <f t="shared" si="35"/>
        <v>997700</v>
      </c>
      <c r="V53" s="23"/>
      <c r="W53" s="64"/>
      <c r="X53" s="23">
        <f t="shared" si="3"/>
        <v>997700</v>
      </c>
    </row>
    <row r="54" spans="1:27" ht="17.25" customHeight="1" x14ac:dyDescent="0.25">
      <c r="A54" s="235"/>
      <c r="B54" s="26">
        <v>51</v>
      </c>
      <c r="C54" s="19" t="s">
        <v>209</v>
      </c>
      <c r="D54" s="20" t="s">
        <v>32</v>
      </c>
      <c r="E54" s="22">
        <v>689455</v>
      </c>
      <c r="F54" s="22">
        <v>30</v>
      </c>
      <c r="G54" s="22">
        <f>E54/30*F54</f>
        <v>689455</v>
      </c>
      <c r="H54" s="22"/>
      <c r="I54" s="22"/>
      <c r="J54" s="22"/>
      <c r="K54" s="22">
        <f t="shared" ref="K54" si="43">SUM(G54:I54)+J54</f>
        <v>689455</v>
      </c>
      <c r="L54" s="22">
        <f t="shared" si="41"/>
        <v>27578.2</v>
      </c>
      <c r="M54" s="22">
        <f t="shared" si="42"/>
        <v>27578.2</v>
      </c>
      <c r="N54" s="22"/>
      <c r="O54" s="58"/>
      <c r="P54" s="22">
        <v>0</v>
      </c>
      <c r="Q54" s="22"/>
      <c r="R54" s="22"/>
      <c r="S54" s="22"/>
      <c r="T54" s="22">
        <f t="shared" ref="T54" si="44">SUM(L54:S54)</f>
        <v>55156.4</v>
      </c>
      <c r="U54" s="23">
        <f t="shared" si="35"/>
        <v>634298.6</v>
      </c>
      <c r="V54" s="23"/>
      <c r="W54" s="64"/>
      <c r="X54" s="23"/>
    </row>
    <row r="55" spans="1:27" ht="24" x14ac:dyDescent="0.25">
      <c r="A55" s="235"/>
      <c r="B55" s="26">
        <v>52</v>
      </c>
      <c r="C55" s="19" t="s">
        <v>109</v>
      </c>
      <c r="D55" s="20" t="s">
        <v>32</v>
      </c>
      <c r="E55" s="22">
        <v>1200000</v>
      </c>
      <c r="F55" s="22">
        <v>29</v>
      </c>
      <c r="G55" s="22">
        <f>E55/30*F55</f>
        <v>1160000</v>
      </c>
      <c r="H55" s="22">
        <v>77700</v>
      </c>
      <c r="I55" s="22"/>
      <c r="J55" s="22">
        <f>+E55-G55</f>
        <v>40000</v>
      </c>
      <c r="K55" s="22">
        <f t="shared" si="19"/>
        <v>1277700</v>
      </c>
      <c r="L55" s="22">
        <v>48000</v>
      </c>
      <c r="M55" s="22">
        <v>48000</v>
      </c>
      <c r="N55" s="22"/>
      <c r="O55" s="58"/>
      <c r="P55" s="22">
        <v>0</v>
      </c>
      <c r="Q55" s="22"/>
      <c r="R55" s="22"/>
      <c r="S55" s="22"/>
      <c r="T55" s="22">
        <f t="shared" si="28"/>
        <v>96000</v>
      </c>
      <c r="U55" s="23">
        <f t="shared" si="35"/>
        <v>1181700</v>
      </c>
      <c r="V55" s="23"/>
      <c r="W55" s="64"/>
      <c r="X55" s="23">
        <f t="shared" si="3"/>
        <v>1181700</v>
      </c>
    </row>
    <row r="56" spans="1:27" x14ac:dyDescent="0.25">
      <c r="A56" s="235"/>
      <c r="B56" s="26">
        <v>53</v>
      </c>
      <c r="C56" s="30" t="s">
        <v>111</v>
      </c>
      <c r="D56" s="26" t="s">
        <v>32</v>
      </c>
      <c r="E56" s="22">
        <v>3500000</v>
      </c>
      <c r="F56" s="22">
        <v>23</v>
      </c>
      <c r="G56" s="22">
        <f>+E56/30*F56</f>
        <v>2683333.3333333335</v>
      </c>
      <c r="H56" s="22"/>
      <c r="I56" s="22">
        <v>816667</v>
      </c>
      <c r="J56" s="22">
        <v>2756160</v>
      </c>
      <c r="K56" s="22">
        <f t="shared" si="19"/>
        <v>6256160.333333334</v>
      </c>
      <c r="L56" s="22">
        <v>140000</v>
      </c>
      <c r="M56" s="22">
        <v>175000</v>
      </c>
      <c r="N56" s="22"/>
      <c r="O56" s="22"/>
      <c r="P56" s="22">
        <v>0</v>
      </c>
      <c r="Q56" s="22"/>
      <c r="R56" s="22"/>
      <c r="S56" s="22"/>
      <c r="T56" s="22">
        <f t="shared" si="28"/>
        <v>315000</v>
      </c>
      <c r="U56" s="23">
        <f t="shared" ref="U56:U65" si="45">K56-T56</f>
        <v>5941160.333333334</v>
      </c>
      <c r="V56" s="23"/>
      <c r="W56" s="64"/>
      <c r="X56" s="23">
        <f t="shared" si="3"/>
        <v>5941160.333333334</v>
      </c>
    </row>
    <row r="57" spans="1:27" x14ac:dyDescent="0.25">
      <c r="A57" s="235"/>
      <c r="B57" s="26">
        <v>54</v>
      </c>
      <c r="C57" s="19" t="s">
        <v>113</v>
      </c>
      <c r="D57" s="20" t="s">
        <v>32</v>
      </c>
      <c r="E57" s="22">
        <v>4000000</v>
      </c>
      <c r="F57" s="22">
        <v>30</v>
      </c>
      <c r="G57" s="22">
        <f>+E57/30*F57</f>
        <v>4000000.0000000005</v>
      </c>
      <c r="H57" s="22"/>
      <c r="I57" s="22">
        <v>300000</v>
      </c>
      <c r="J57" s="22">
        <v>4999920</v>
      </c>
      <c r="K57" s="22">
        <f t="shared" si="19"/>
        <v>9299920</v>
      </c>
      <c r="L57" s="22">
        <v>160000</v>
      </c>
      <c r="M57" s="22">
        <v>200000</v>
      </c>
      <c r="N57" s="22"/>
      <c r="O57" s="58"/>
      <c r="P57" s="22">
        <v>178000</v>
      </c>
      <c r="Q57" s="22"/>
      <c r="R57" s="22"/>
      <c r="S57" s="22">
        <v>766228</v>
      </c>
      <c r="T57" s="22">
        <f t="shared" si="28"/>
        <v>1304228</v>
      </c>
      <c r="U57" s="23">
        <f t="shared" si="45"/>
        <v>7995692</v>
      </c>
      <c r="V57" s="23"/>
      <c r="W57" s="64"/>
      <c r="X57" s="23">
        <f t="shared" si="3"/>
        <v>7995692</v>
      </c>
    </row>
    <row r="58" spans="1:27" x14ac:dyDescent="0.25">
      <c r="A58" s="235"/>
      <c r="B58" s="26">
        <v>55</v>
      </c>
      <c r="C58" s="19" t="s">
        <v>115</v>
      </c>
      <c r="D58" s="20" t="s">
        <v>32</v>
      </c>
      <c r="E58" s="22">
        <v>689455</v>
      </c>
      <c r="F58" s="22">
        <v>30</v>
      </c>
      <c r="G58" s="22">
        <v>632000</v>
      </c>
      <c r="H58" s="22"/>
      <c r="I58" s="22"/>
      <c r="J58" s="22"/>
      <c r="K58" s="22">
        <f t="shared" si="19"/>
        <v>632000</v>
      </c>
      <c r="L58" s="22"/>
      <c r="M58" s="22"/>
      <c r="N58" s="22"/>
      <c r="O58" s="58"/>
      <c r="P58" s="22"/>
      <c r="Q58" s="22"/>
      <c r="R58" s="22"/>
      <c r="S58" s="22"/>
      <c r="T58" s="22">
        <f t="shared" si="28"/>
        <v>0</v>
      </c>
      <c r="U58" s="23">
        <f t="shared" si="45"/>
        <v>632000</v>
      </c>
      <c r="V58" s="23"/>
      <c r="W58" s="64"/>
      <c r="X58" s="23">
        <f t="shared" si="3"/>
        <v>632000</v>
      </c>
    </row>
    <row r="59" spans="1:27" ht="17.25" customHeight="1" x14ac:dyDescent="0.25">
      <c r="A59" s="235"/>
      <c r="B59" s="26">
        <v>56</v>
      </c>
      <c r="C59" s="19" t="s">
        <v>116</v>
      </c>
      <c r="D59" s="20" t="s">
        <v>32</v>
      </c>
      <c r="E59" s="22">
        <v>3000000</v>
      </c>
      <c r="F59" s="22">
        <v>28</v>
      </c>
      <c r="G59" s="22">
        <f>E59/30*F59</f>
        <v>2800000</v>
      </c>
      <c r="H59" s="22"/>
      <c r="I59" s="22"/>
      <c r="J59" s="22">
        <f>+E59-G59</f>
        <v>200000</v>
      </c>
      <c r="K59" s="22">
        <f t="shared" si="19"/>
        <v>3000000</v>
      </c>
      <c r="L59" s="22">
        <v>120000</v>
      </c>
      <c r="M59" s="22">
        <v>150000</v>
      </c>
      <c r="N59" s="22"/>
      <c r="O59" s="58"/>
      <c r="P59" s="22">
        <v>0</v>
      </c>
      <c r="Q59" s="22"/>
      <c r="R59" s="22"/>
      <c r="S59" s="22">
        <v>322019</v>
      </c>
      <c r="T59" s="22">
        <f t="shared" si="28"/>
        <v>592019</v>
      </c>
      <c r="U59" s="23">
        <f t="shared" si="45"/>
        <v>2407981</v>
      </c>
      <c r="V59" s="23"/>
      <c r="W59" s="64"/>
      <c r="X59" s="23">
        <f t="shared" si="3"/>
        <v>2407981</v>
      </c>
    </row>
    <row r="60" spans="1:27" ht="17.25" customHeight="1" x14ac:dyDescent="0.25">
      <c r="A60" s="235"/>
      <c r="B60" s="26">
        <v>57</v>
      </c>
      <c r="C60" s="19" t="s">
        <v>204</v>
      </c>
      <c r="D60" s="20" t="s">
        <v>32</v>
      </c>
      <c r="E60" s="22">
        <v>689455</v>
      </c>
      <c r="F60" s="22">
        <v>30</v>
      </c>
      <c r="G60" s="22">
        <f>E60/30*F60</f>
        <v>689455</v>
      </c>
      <c r="H60" s="22">
        <f>+(77700/30)*F60</f>
        <v>77700</v>
      </c>
      <c r="I60" s="22"/>
      <c r="J60" s="22"/>
      <c r="K60" s="22">
        <f t="shared" ref="K60:K62" si="46">SUM(G60:I60)+J60</f>
        <v>767155</v>
      </c>
      <c r="L60" s="22">
        <f t="shared" ref="L60:L64" si="47">+G60*4%</f>
        <v>27578.2</v>
      </c>
      <c r="M60" s="22">
        <f>+G60*4%</f>
        <v>27578.2</v>
      </c>
      <c r="N60" s="22"/>
      <c r="O60" s="58"/>
      <c r="P60" s="22"/>
      <c r="Q60" s="22"/>
      <c r="R60" s="22"/>
      <c r="S60" s="22"/>
      <c r="T60" s="22">
        <f t="shared" si="28"/>
        <v>55156.4</v>
      </c>
      <c r="U60" s="23">
        <f t="shared" si="45"/>
        <v>711998.6</v>
      </c>
      <c r="V60" s="23"/>
      <c r="W60" s="64"/>
      <c r="X60" s="23">
        <f t="shared" si="3"/>
        <v>711998.6</v>
      </c>
    </row>
    <row r="61" spans="1:27" x14ac:dyDescent="0.25">
      <c r="A61" s="235"/>
      <c r="B61" s="26">
        <v>58</v>
      </c>
      <c r="C61" s="30" t="s">
        <v>221</v>
      </c>
      <c r="D61" s="26" t="s">
        <v>32</v>
      </c>
      <c r="E61" s="22">
        <v>3250000</v>
      </c>
      <c r="F61" s="22">
        <v>28</v>
      </c>
      <c r="G61" s="22">
        <f t="shared" ref="G61" si="48">+E61/30*F61</f>
        <v>3033333.333333333</v>
      </c>
      <c r="H61" s="22"/>
      <c r="I61" s="22"/>
      <c r="J61" s="22"/>
      <c r="K61" s="22">
        <f t="shared" ref="K61" si="49">SUM(G61:I61)+J61</f>
        <v>3033333.333333333</v>
      </c>
      <c r="L61" s="22">
        <f>+G61*4%</f>
        <v>121333.33333333333</v>
      </c>
      <c r="M61" s="22">
        <f>+G61*5%</f>
        <v>151666.66666666666</v>
      </c>
      <c r="N61" s="22"/>
      <c r="O61" s="58"/>
      <c r="P61" s="22"/>
      <c r="Q61" s="22"/>
      <c r="R61" s="22"/>
      <c r="S61" s="22"/>
      <c r="T61" s="22">
        <f t="shared" ref="T61" si="50">SUM(L61:S61)</f>
        <v>273000</v>
      </c>
      <c r="U61" s="23">
        <f t="shared" ref="U61" si="51">+K61-T61</f>
        <v>2760333.333333333</v>
      </c>
      <c r="V61" s="23"/>
      <c r="W61" s="64"/>
      <c r="X61" s="23">
        <f t="shared" si="3"/>
        <v>2760333.333333333</v>
      </c>
    </row>
    <row r="62" spans="1:27" ht="17.25" customHeight="1" x14ac:dyDescent="0.25">
      <c r="A62" s="235"/>
      <c r="B62" s="26">
        <v>59</v>
      </c>
      <c r="C62" s="19" t="s">
        <v>213</v>
      </c>
      <c r="D62" s="20" t="s">
        <v>32</v>
      </c>
      <c r="E62" s="22">
        <v>900000</v>
      </c>
      <c r="F62" s="22">
        <v>30</v>
      </c>
      <c r="G62" s="22">
        <f>E62/30*F62</f>
        <v>900000</v>
      </c>
      <c r="H62" s="22"/>
      <c r="I62" s="22"/>
      <c r="J62" s="22"/>
      <c r="K62" s="22">
        <f t="shared" si="46"/>
        <v>900000</v>
      </c>
      <c r="L62" s="22">
        <f t="shared" ref="L62" si="52">+G62*4%</f>
        <v>36000</v>
      </c>
      <c r="M62" s="22">
        <f>+G62*4%</f>
        <v>36000</v>
      </c>
      <c r="N62" s="22"/>
      <c r="O62" s="58"/>
      <c r="P62" s="22"/>
      <c r="Q62" s="22"/>
      <c r="R62" s="22"/>
      <c r="S62" s="22"/>
      <c r="T62" s="22">
        <f t="shared" si="28"/>
        <v>72000</v>
      </c>
      <c r="U62" s="23">
        <f>K62-T62</f>
        <v>828000</v>
      </c>
      <c r="V62" s="23"/>
      <c r="W62" s="64"/>
      <c r="X62" s="23">
        <f t="shared" si="3"/>
        <v>828000</v>
      </c>
    </row>
    <row r="63" spans="1:27" ht="15.75" customHeight="1" x14ac:dyDescent="0.25">
      <c r="A63" s="235"/>
      <c r="B63" s="26">
        <v>60</v>
      </c>
      <c r="C63" s="19" t="s">
        <v>118</v>
      </c>
      <c r="D63" s="20" t="s">
        <v>32</v>
      </c>
      <c r="E63" s="22">
        <v>2000000</v>
      </c>
      <c r="F63" s="22">
        <v>30</v>
      </c>
      <c r="G63" s="22">
        <f>(E63/30*F63)</f>
        <v>2000000.0000000002</v>
      </c>
      <c r="H63" s="22"/>
      <c r="I63" s="22"/>
      <c r="J63" s="22"/>
      <c r="K63" s="22">
        <f t="shared" si="19"/>
        <v>2000000.0000000002</v>
      </c>
      <c r="L63" s="22">
        <f t="shared" si="47"/>
        <v>80000.000000000015</v>
      </c>
      <c r="M63" s="22">
        <f>+G63*4%</f>
        <v>80000.000000000015</v>
      </c>
      <c r="N63" s="22"/>
      <c r="O63" s="58"/>
      <c r="P63" s="22">
        <v>0</v>
      </c>
      <c r="Q63" s="22"/>
      <c r="R63" s="22"/>
      <c r="S63" s="22">
        <v>254624</v>
      </c>
      <c r="T63" s="22">
        <f t="shared" si="28"/>
        <v>414624</v>
      </c>
      <c r="U63" s="23">
        <f t="shared" si="45"/>
        <v>1585376.0000000002</v>
      </c>
      <c r="V63" s="23"/>
      <c r="W63" s="64"/>
      <c r="X63" s="23">
        <f t="shared" si="3"/>
        <v>1585376.0000000002</v>
      </c>
      <c r="AA63" s="65">
        <f>1196000+644000</f>
        <v>1840000</v>
      </c>
    </row>
    <row r="64" spans="1:27" ht="15.75" customHeight="1" x14ac:dyDescent="0.25">
      <c r="A64" s="235"/>
      <c r="B64" s="26">
        <v>61</v>
      </c>
      <c r="C64" s="19" t="s">
        <v>210</v>
      </c>
      <c r="D64" s="20" t="s">
        <v>32</v>
      </c>
      <c r="E64" s="22">
        <v>2000000</v>
      </c>
      <c r="F64" s="22">
        <v>30</v>
      </c>
      <c r="G64" s="22">
        <f>(E64/30*F64)</f>
        <v>2000000.0000000002</v>
      </c>
      <c r="H64" s="22"/>
      <c r="I64" s="22"/>
      <c r="J64" s="22">
        <v>90000</v>
      </c>
      <c r="K64" s="22">
        <f t="shared" ref="K64" si="53">SUM(G64:I64)+J64</f>
        <v>2090000.0000000002</v>
      </c>
      <c r="L64" s="22">
        <f t="shared" si="47"/>
        <v>80000.000000000015</v>
      </c>
      <c r="M64" s="22">
        <f>+G64*4%</f>
        <v>80000.000000000015</v>
      </c>
      <c r="N64" s="22"/>
      <c r="O64" s="58"/>
      <c r="P64" s="22">
        <v>0</v>
      </c>
      <c r="Q64" s="22"/>
      <c r="R64" s="22"/>
      <c r="S64" s="22"/>
      <c r="T64" s="22">
        <f t="shared" ref="T64" si="54">SUM(L64:S64)</f>
        <v>160000.00000000003</v>
      </c>
      <c r="U64" s="23">
        <f t="shared" si="45"/>
        <v>1930000.0000000002</v>
      </c>
      <c r="V64" s="23"/>
      <c r="W64" s="64"/>
      <c r="X64" s="23">
        <f t="shared" si="3"/>
        <v>1930000.0000000002</v>
      </c>
    </row>
    <row r="65" spans="1:27" x14ac:dyDescent="0.25">
      <c r="A65" s="235"/>
      <c r="B65" s="26">
        <v>62</v>
      </c>
      <c r="C65" s="30" t="s">
        <v>120</v>
      </c>
      <c r="D65" s="26" t="s">
        <v>32</v>
      </c>
      <c r="E65" s="22">
        <v>689455</v>
      </c>
      <c r="F65" s="22">
        <v>30</v>
      </c>
      <c r="G65" s="22">
        <v>620509</v>
      </c>
      <c r="H65" s="22"/>
      <c r="I65" s="22"/>
      <c r="J65" s="22"/>
      <c r="K65" s="22">
        <f t="shared" si="19"/>
        <v>620509</v>
      </c>
      <c r="L65" s="22"/>
      <c r="M65" s="22"/>
      <c r="N65" s="22"/>
      <c r="O65" s="58">
        <v>20200</v>
      </c>
      <c r="P65" s="22"/>
      <c r="Q65" s="22"/>
      <c r="R65" s="22"/>
      <c r="S65" s="22"/>
      <c r="T65" s="22">
        <f t="shared" si="28"/>
        <v>20200</v>
      </c>
      <c r="U65" s="23">
        <f t="shared" si="45"/>
        <v>600309</v>
      </c>
      <c r="V65" s="23"/>
      <c r="W65" s="64"/>
      <c r="X65" s="23">
        <f t="shared" si="3"/>
        <v>600309</v>
      </c>
      <c r="AA65" s="65">
        <f>1840000-1196000</f>
        <v>644000</v>
      </c>
    </row>
    <row r="66" spans="1:27" x14ac:dyDescent="0.25">
      <c r="A66" s="235"/>
      <c r="B66" s="26">
        <v>63</v>
      </c>
      <c r="C66" s="30" t="s">
        <v>122</v>
      </c>
      <c r="D66" s="26" t="s">
        <v>32</v>
      </c>
      <c r="E66" s="22">
        <v>1800000</v>
      </c>
      <c r="F66" s="22">
        <v>30</v>
      </c>
      <c r="G66" s="22">
        <f>+E66/30*F66</f>
        <v>1800000</v>
      </c>
      <c r="H66" s="22"/>
      <c r="I66" s="22">
        <v>500000</v>
      </c>
      <c r="J66" s="22"/>
      <c r="K66" s="22">
        <f t="shared" si="19"/>
        <v>2300000</v>
      </c>
      <c r="L66" s="22">
        <f>+E66*4%</f>
        <v>72000</v>
      </c>
      <c r="M66" s="22">
        <f>+E66*4%</f>
        <v>72000</v>
      </c>
      <c r="N66" s="22"/>
      <c r="O66" s="58">
        <v>20800</v>
      </c>
      <c r="P66" s="22">
        <v>0</v>
      </c>
      <c r="Q66" s="22"/>
      <c r="R66" s="22"/>
      <c r="S66" s="22"/>
      <c r="T66" s="22">
        <f t="shared" si="28"/>
        <v>164800</v>
      </c>
      <c r="U66" s="23">
        <f>K66-T66</f>
        <v>2135200</v>
      </c>
      <c r="V66" s="23"/>
      <c r="W66" s="64"/>
      <c r="X66" s="23">
        <f>U66+V66-W66</f>
        <v>2135200</v>
      </c>
    </row>
    <row r="67" spans="1:27" ht="20.25" customHeight="1" x14ac:dyDescent="0.25">
      <c r="A67" s="235"/>
      <c r="B67" s="26">
        <v>64</v>
      </c>
      <c r="C67" s="19" t="s">
        <v>126</v>
      </c>
      <c r="D67" s="20" t="s">
        <v>32</v>
      </c>
      <c r="E67" s="22">
        <v>3000000</v>
      </c>
      <c r="F67" s="22">
        <v>30</v>
      </c>
      <c r="G67" s="22">
        <f t="shared" ref="G67" si="55">+E67/30*F67</f>
        <v>3000000</v>
      </c>
      <c r="H67" s="22"/>
      <c r="I67" s="22"/>
      <c r="J67" s="22"/>
      <c r="K67" s="22">
        <f t="shared" si="19"/>
        <v>3000000</v>
      </c>
      <c r="L67" s="22">
        <v>120000</v>
      </c>
      <c r="M67" s="22">
        <v>150000</v>
      </c>
      <c r="N67" s="22"/>
      <c r="O67" s="58">
        <v>14300</v>
      </c>
      <c r="P67" s="22">
        <v>0</v>
      </c>
      <c r="Q67" s="22"/>
      <c r="R67" s="22"/>
      <c r="S67" s="22">
        <v>996534</v>
      </c>
      <c r="T67" s="22">
        <f t="shared" si="28"/>
        <v>1280834</v>
      </c>
      <c r="U67" s="23">
        <f t="shared" ref="U67:U77" si="56">+K67-T67</f>
        <v>1719166</v>
      </c>
      <c r="V67" s="23"/>
      <c r="W67" s="64"/>
      <c r="X67" s="23">
        <f t="shared" ref="X67:X99" si="57">U67+V67-W67</f>
        <v>1719166</v>
      </c>
    </row>
    <row r="68" spans="1:27" ht="18" customHeight="1" x14ac:dyDescent="0.25">
      <c r="A68" s="235"/>
      <c r="B68" s="26">
        <v>65</v>
      </c>
      <c r="C68" s="19" t="s">
        <v>124</v>
      </c>
      <c r="D68" s="20" t="s">
        <v>32</v>
      </c>
      <c r="E68" s="22">
        <v>2000000</v>
      </c>
      <c r="F68" s="22">
        <v>23</v>
      </c>
      <c r="G68" s="22">
        <f>+E68/30*F68</f>
        <v>1533333.3333333335</v>
      </c>
      <c r="H68" s="22"/>
      <c r="I68" s="22"/>
      <c r="J68" s="22">
        <f>+E68-G68</f>
        <v>466666.66666666651</v>
      </c>
      <c r="K68" s="22">
        <f t="shared" si="19"/>
        <v>2000000</v>
      </c>
      <c r="L68" s="22">
        <v>80000</v>
      </c>
      <c r="M68" s="22">
        <v>80000</v>
      </c>
      <c r="N68" s="22"/>
      <c r="O68" s="58"/>
      <c r="P68" s="22">
        <v>0</v>
      </c>
      <c r="Q68" s="22"/>
      <c r="R68" s="22"/>
      <c r="S68" s="22"/>
      <c r="T68" s="22">
        <f t="shared" si="28"/>
        <v>160000</v>
      </c>
      <c r="U68" s="23">
        <f t="shared" si="56"/>
        <v>1840000</v>
      </c>
      <c r="V68" s="23"/>
      <c r="W68" s="64"/>
      <c r="X68" s="23">
        <f t="shared" si="57"/>
        <v>1840000</v>
      </c>
    </row>
    <row r="69" spans="1:27" x14ac:dyDescent="0.25">
      <c r="A69" s="235"/>
      <c r="B69" s="26">
        <v>66</v>
      </c>
      <c r="C69" s="19" t="s">
        <v>128</v>
      </c>
      <c r="D69" s="20" t="s">
        <v>32</v>
      </c>
      <c r="E69" s="22">
        <v>3250000</v>
      </c>
      <c r="F69" s="22">
        <v>30</v>
      </c>
      <c r="G69" s="22">
        <f t="shared" ref="G69:G81" si="58">+E69/30*F69</f>
        <v>3250000</v>
      </c>
      <c r="H69" s="22"/>
      <c r="I69" s="22"/>
      <c r="J69" s="22">
        <v>5687280</v>
      </c>
      <c r="K69" s="22">
        <f t="shared" si="19"/>
        <v>8937280</v>
      </c>
      <c r="L69" s="22">
        <v>130000</v>
      </c>
      <c r="M69" s="22">
        <v>162500</v>
      </c>
      <c r="N69" s="22"/>
      <c r="O69" s="58">
        <v>36000</v>
      </c>
      <c r="P69" s="22">
        <v>273000</v>
      </c>
      <c r="Q69" s="22"/>
      <c r="R69" s="22"/>
      <c r="S69" s="22"/>
      <c r="T69" s="22">
        <f t="shared" si="28"/>
        <v>601500</v>
      </c>
      <c r="U69" s="23">
        <f t="shared" si="56"/>
        <v>8335780</v>
      </c>
      <c r="V69" s="23"/>
      <c r="W69" s="64"/>
      <c r="X69" s="23">
        <f t="shared" si="57"/>
        <v>8335780</v>
      </c>
      <c r="Y69" s="65" t="s">
        <v>130</v>
      </c>
    </row>
    <row r="70" spans="1:27" x14ac:dyDescent="0.25">
      <c r="A70" s="235"/>
      <c r="B70" s="26">
        <v>67</v>
      </c>
      <c r="C70" s="19" t="s">
        <v>214</v>
      </c>
      <c r="D70" s="20" t="s">
        <v>32</v>
      </c>
      <c r="E70" s="22">
        <v>689455</v>
      </c>
      <c r="F70" s="22">
        <v>30</v>
      </c>
      <c r="G70" s="22">
        <f t="shared" si="58"/>
        <v>689455</v>
      </c>
      <c r="H70" s="22">
        <v>77700</v>
      </c>
      <c r="I70" s="22"/>
      <c r="J70" s="22"/>
      <c r="K70" s="22">
        <f t="shared" ref="K70" si="59">SUM(G70:I70)+J70</f>
        <v>767155</v>
      </c>
      <c r="L70" s="22">
        <f t="shared" ref="L70" si="60">+G70*4%</f>
        <v>27578.2</v>
      </c>
      <c r="M70" s="22">
        <f>+G70*4%</f>
        <v>27578.2</v>
      </c>
      <c r="N70" s="22"/>
      <c r="O70" s="58"/>
      <c r="P70" s="22">
        <v>0</v>
      </c>
      <c r="Q70" s="22"/>
      <c r="R70" s="22"/>
      <c r="S70" s="22"/>
      <c r="T70" s="22">
        <f t="shared" ref="T70" si="61">SUM(L70:S70)</f>
        <v>55156.4</v>
      </c>
      <c r="U70" s="23">
        <f t="shared" si="56"/>
        <v>711998.6</v>
      </c>
      <c r="V70" s="23"/>
      <c r="W70" s="64"/>
      <c r="X70" s="23">
        <f t="shared" si="57"/>
        <v>711998.6</v>
      </c>
      <c r="Y70" s="65" t="s">
        <v>130</v>
      </c>
    </row>
    <row r="71" spans="1:27" x14ac:dyDescent="0.25">
      <c r="A71" s="235"/>
      <c r="B71" s="26">
        <v>68</v>
      </c>
      <c r="C71" s="19" t="s">
        <v>131</v>
      </c>
      <c r="D71" s="20" t="s">
        <v>32</v>
      </c>
      <c r="E71" s="22">
        <v>3000000</v>
      </c>
      <c r="F71" s="22">
        <v>25</v>
      </c>
      <c r="G71" s="22">
        <f t="shared" si="58"/>
        <v>2500000</v>
      </c>
      <c r="H71" s="22">
        <v>333350</v>
      </c>
      <c r="I71" s="22"/>
      <c r="J71" s="22">
        <v>2362500</v>
      </c>
      <c r="K71" s="22">
        <f t="shared" si="19"/>
        <v>5195850</v>
      </c>
      <c r="L71" s="22">
        <f>+E71*4%</f>
        <v>120000</v>
      </c>
      <c r="M71" s="22">
        <f>+E71*5%</f>
        <v>150000</v>
      </c>
      <c r="N71" s="22"/>
      <c r="O71" s="58"/>
      <c r="P71" s="25">
        <v>0</v>
      </c>
      <c r="Q71" s="22"/>
      <c r="R71" s="22"/>
      <c r="S71" s="22">
        <v>586000</v>
      </c>
      <c r="T71" s="22">
        <f t="shared" si="28"/>
        <v>856000</v>
      </c>
      <c r="U71" s="23">
        <f t="shared" si="56"/>
        <v>4339850</v>
      </c>
      <c r="V71" s="23"/>
      <c r="W71" s="64"/>
      <c r="X71" s="23">
        <f t="shared" si="57"/>
        <v>4339850</v>
      </c>
    </row>
    <row r="72" spans="1:27" x14ac:dyDescent="0.25">
      <c r="A72" s="235"/>
      <c r="B72" s="26">
        <v>69</v>
      </c>
      <c r="C72" s="19" t="s">
        <v>222</v>
      </c>
      <c r="D72" s="20"/>
      <c r="E72" s="22">
        <v>4500000</v>
      </c>
      <c r="F72" s="22">
        <v>21</v>
      </c>
      <c r="G72" s="22">
        <f t="shared" si="58"/>
        <v>3150000</v>
      </c>
      <c r="H72" s="22"/>
      <c r="I72" s="22"/>
      <c r="J72" s="22"/>
      <c r="K72" s="22">
        <f t="shared" ref="K72" si="62">SUM(G72:I72)+J72</f>
        <v>3150000</v>
      </c>
      <c r="L72" s="22">
        <f>+G72*4%</f>
        <v>126000</v>
      </c>
      <c r="M72" s="22">
        <f>+G72*5%</f>
        <v>157500</v>
      </c>
      <c r="N72" s="22"/>
      <c r="O72" s="58"/>
      <c r="P72" s="25">
        <v>50000</v>
      </c>
      <c r="Q72" s="22"/>
      <c r="R72" s="22"/>
      <c r="S72" s="22"/>
      <c r="T72" s="22">
        <f t="shared" si="28"/>
        <v>333500</v>
      </c>
      <c r="U72" s="23">
        <f t="shared" si="56"/>
        <v>2816500</v>
      </c>
      <c r="V72" s="23"/>
      <c r="W72" s="64"/>
      <c r="X72" s="23">
        <f t="shared" si="57"/>
        <v>2816500</v>
      </c>
    </row>
    <row r="73" spans="1:27" x14ac:dyDescent="0.25">
      <c r="A73" s="235"/>
      <c r="B73" s="26">
        <v>70</v>
      </c>
      <c r="C73" s="19" t="s">
        <v>206</v>
      </c>
      <c r="D73" s="20" t="s">
        <v>32</v>
      </c>
      <c r="E73" s="22">
        <v>900000</v>
      </c>
      <c r="F73" s="22">
        <v>30</v>
      </c>
      <c r="G73" s="22">
        <f t="shared" si="58"/>
        <v>900000</v>
      </c>
      <c r="H73" s="22"/>
      <c r="I73" s="22"/>
      <c r="J73" s="22"/>
      <c r="K73" s="22">
        <f t="shared" ref="K73" si="63">SUM(G73:I73)+J73</f>
        <v>900000</v>
      </c>
      <c r="L73" s="22">
        <f>+G73*4%</f>
        <v>36000</v>
      </c>
      <c r="M73" s="22">
        <f>+G73*4%</f>
        <v>36000</v>
      </c>
      <c r="N73" s="22"/>
      <c r="O73" s="58">
        <v>30500</v>
      </c>
      <c r="P73" s="25">
        <v>0</v>
      </c>
      <c r="Q73" s="22"/>
      <c r="R73" s="22"/>
      <c r="S73" s="22"/>
      <c r="T73" s="22">
        <f t="shared" ref="T73" si="64">SUM(L73:S73)</f>
        <v>102500</v>
      </c>
      <c r="U73" s="23">
        <f t="shared" si="56"/>
        <v>797500</v>
      </c>
      <c r="V73" s="23"/>
      <c r="W73" s="64"/>
      <c r="X73" s="23">
        <f t="shared" si="57"/>
        <v>797500</v>
      </c>
    </row>
    <row r="74" spans="1:27" x14ac:dyDescent="0.25">
      <c r="A74" s="235"/>
      <c r="B74" s="26">
        <v>71</v>
      </c>
      <c r="C74" s="19" t="s">
        <v>133</v>
      </c>
      <c r="D74" s="20" t="s">
        <v>32</v>
      </c>
      <c r="E74" s="22">
        <v>1800000</v>
      </c>
      <c r="F74" s="22">
        <v>30</v>
      </c>
      <c r="G74" s="22">
        <f t="shared" si="58"/>
        <v>1800000</v>
      </c>
      <c r="H74" s="22"/>
      <c r="I74" s="22"/>
      <c r="J74" s="22"/>
      <c r="K74" s="22">
        <f t="shared" si="19"/>
        <v>1800000</v>
      </c>
      <c r="L74" s="22">
        <v>72000</v>
      </c>
      <c r="M74" s="22">
        <v>72000</v>
      </c>
      <c r="N74" s="22"/>
      <c r="O74" s="58">
        <v>40800</v>
      </c>
      <c r="P74" s="25">
        <v>0</v>
      </c>
      <c r="Q74" s="22"/>
      <c r="R74" s="22">
        <v>412000</v>
      </c>
      <c r="S74" s="22">
        <v>127000</v>
      </c>
      <c r="T74" s="22">
        <f t="shared" si="28"/>
        <v>723800</v>
      </c>
      <c r="U74" s="23">
        <f t="shared" si="56"/>
        <v>1076200</v>
      </c>
      <c r="V74" s="23"/>
      <c r="W74" s="64"/>
      <c r="X74" s="23">
        <f t="shared" si="57"/>
        <v>1076200</v>
      </c>
    </row>
    <row r="75" spans="1:27" ht="24" x14ac:dyDescent="0.25">
      <c r="A75" s="235"/>
      <c r="B75" s="26">
        <v>72</v>
      </c>
      <c r="C75" s="19" t="s">
        <v>215</v>
      </c>
      <c r="D75" s="20" t="s">
        <v>32</v>
      </c>
      <c r="E75" s="22">
        <v>689455</v>
      </c>
      <c r="F75" s="22">
        <v>30</v>
      </c>
      <c r="G75" s="22">
        <f t="shared" si="58"/>
        <v>689455</v>
      </c>
      <c r="H75" s="22">
        <v>77700</v>
      </c>
      <c r="I75" s="22"/>
      <c r="J75" s="22"/>
      <c r="K75" s="22">
        <f t="shared" ref="K75" si="65">SUM(G75:I75)+J75</f>
        <v>767155</v>
      </c>
      <c r="L75" s="22">
        <f>+G75*4%</f>
        <v>27578.2</v>
      </c>
      <c r="M75" s="22">
        <f>+G75*4%</f>
        <v>27578.2</v>
      </c>
      <c r="N75" s="22"/>
      <c r="O75" s="58"/>
      <c r="P75" s="25">
        <v>0</v>
      </c>
      <c r="Q75" s="22"/>
      <c r="R75" s="22"/>
      <c r="S75" s="22"/>
      <c r="T75" s="22">
        <f t="shared" ref="T75" si="66">SUM(L75:S75)</f>
        <v>55156.4</v>
      </c>
      <c r="U75" s="23">
        <f t="shared" si="56"/>
        <v>711998.6</v>
      </c>
      <c r="V75" s="23"/>
      <c r="W75" s="64"/>
      <c r="X75" s="23">
        <f t="shared" si="57"/>
        <v>711998.6</v>
      </c>
    </row>
    <row r="76" spans="1:27" x14ac:dyDescent="0.25">
      <c r="A76" s="235"/>
      <c r="B76" s="26">
        <v>73</v>
      </c>
      <c r="C76" s="19" t="s">
        <v>135</v>
      </c>
      <c r="D76" s="20" t="s">
        <v>32</v>
      </c>
      <c r="E76" s="22">
        <v>1800000</v>
      </c>
      <c r="F76" s="22">
        <v>30</v>
      </c>
      <c r="G76" s="22">
        <f>+E76/30*F76</f>
        <v>1800000</v>
      </c>
      <c r="H76" s="22"/>
      <c r="I76" s="22"/>
      <c r="J76" s="22"/>
      <c r="K76" s="22">
        <f t="shared" ref="K76:K99" si="67">SUM(G76:I76)+J76</f>
        <v>1800000</v>
      </c>
      <c r="L76" s="22">
        <v>72000</v>
      </c>
      <c r="M76" s="22">
        <v>72000</v>
      </c>
      <c r="N76" s="22"/>
      <c r="O76" s="58">
        <v>72300</v>
      </c>
      <c r="P76" s="22">
        <v>0</v>
      </c>
      <c r="Q76" s="22"/>
      <c r="R76" s="22"/>
      <c r="S76" s="22">
        <v>257196</v>
      </c>
      <c r="T76" s="22">
        <f t="shared" si="28"/>
        <v>473496</v>
      </c>
      <c r="U76" s="23">
        <f t="shared" si="56"/>
        <v>1326504</v>
      </c>
      <c r="V76" s="23"/>
      <c r="W76" s="64"/>
      <c r="X76" s="23">
        <f t="shared" si="57"/>
        <v>1326504</v>
      </c>
    </row>
    <row r="77" spans="1:27" x14ac:dyDescent="0.25">
      <c r="A77" s="235"/>
      <c r="B77" s="26">
        <v>74</v>
      </c>
      <c r="C77" s="19" t="s">
        <v>189</v>
      </c>
      <c r="D77" s="20" t="s">
        <v>32</v>
      </c>
      <c r="E77" s="22">
        <v>4500000</v>
      </c>
      <c r="F77" s="22">
        <v>30</v>
      </c>
      <c r="G77" s="22">
        <f>+E77/30*F77</f>
        <v>4500000</v>
      </c>
      <c r="H77" s="22"/>
      <c r="I77" s="22"/>
      <c r="J77" s="22"/>
      <c r="K77" s="22">
        <f t="shared" si="67"/>
        <v>4500000</v>
      </c>
      <c r="L77" s="22">
        <f t="shared" ref="L77" si="68">+G77*4%</f>
        <v>180000</v>
      </c>
      <c r="M77" s="22">
        <f>+G77*5%</f>
        <v>225000</v>
      </c>
      <c r="N77" s="22"/>
      <c r="O77" s="58"/>
      <c r="P77" s="22">
        <v>72000</v>
      </c>
      <c r="Q77" s="22"/>
      <c r="R77" s="22"/>
      <c r="S77" s="22"/>
      <c r="T77" s="22">
        <f t="shared" ref="T77" si="69">SUM(L77:S77)</f>
        <v>477000</v>
      </c>
      <c r="U77" s="23">
        <f t="shared" si="56"/>
        <v>4023000</v>
      </c>
      <c r="V77" s="23"/>
      <c r="W77" s="64"/>
      <c r="X77" s="23">
        <f t="shared" si="57"/>
        <v>4023000</v>
      </c>
    </row>
    <row r="78" spans="1:27" x14ac:dyDescent="0.25">
      <c r="A78" s="235"/>
      <c r="B78" s="26">
        <v>75</v>
      </c>
      <c r="C78" s="19" t="s">
        <v>138</v>
      </c>
      <c r="D78" s="20" t="s">
        <v>32</v>
      </c>
      <c r="E78" s="22">
        <v>4500000</v>
      </c>
      <c r="F78" s="22">
        <v>30</v>
      </c>
      <c r="G78" s="22">
        <f>+E78/30*F78</f>
        <v>4500000</v>
      </c>
      <c r="H78" s="22"/>
      <c r="I78" s="22"/>
      <c r="J78" s="22"/>
      <c r="K78" s="22">
        <f t="shared" si="67"/>
        <v>4500000</v>
      </c>
      <c r="L78" s="22">
        <v>180000</v>
      </c>
      <c r="M78" s="22">
        <v>225000</v>
      </c>
      <c r="N78" s="22"/>
      <c r="O78" s="58">
        <v>38400</v>
      </c>
      <c r="P78" s="22">
        <v>73073</v>
      </c>
      <c r="Q78" s="22"/>
      <c r="R78" s="22"/>
      <c r="S78" s="22"/>
      <c r="T78" s="22">
        <f>SUM(L78:S78)</f>
        <v>516473</v>
      </c>
      <c r="U78" s="23">
        <f>K78-T78</f>
        <v>3983527</v>
      </c>
      <c r="V78" s="23"/>
      <c r="W78" s="64"/>
      <c r="X78" s="23">
        <f t="shared" si="57"/>
        <v>3983527</v>
      </c>
    </row>
    <row r="79" spans="1:27" x14ac:dyDescent="0.25">
      <c r="A79" s="235"/>
      <c r="B79" s="26">
        <v>76</v>
      </c>
      <c r="C79" s="19" t="s">
        <v>142</v>
      </c>
      <c r="D79" s="20" t="s">
        <v>32</v>
      </c>
      <c r="E79" s="22">
        <v>2500000</v>
      </c>
      <c r="F79" s="22">
        <v>26</v>
      </c>
      <c r="G79" s="22">
        <f t="shared" ref="G79" si="70">+E79/30*F79</f>
        <v>2166666.6666666665</v>
      </c>
      <c r="H79" s="22"/>
      <c r="I79" s="22">
        <v>500000</v>
      </c>
      <c r="J79" s="22">
        <f>+E79-G79</f>
        <v>333333.33333333349</v>
      </c>
      <c r="K79" s="22">
        <f t="shared" si="67"/>
        <v>3000000</v>
      </c>
      <c r="L79" s="22">
        <v>100000</v>
      </c>
      <c r="M79" s="22">
        <v>100000</v>
      </c>
      <c r="N79" s="22"/>
      <c r="O79" s="58"/>
      <c r="P79" s="22">
        <v>0</v>
      </c>
      <c r="Q79" s="22"/>
      <c r="R79" s="22"/>
      <c r="S79" s="22"/>
      <c r="T79" s="22">
        <f t="shared" si="28"/>
        <v>200000</v>
      </c>
      <c r="U79" s="23">
        <f>K79-T79</f>
        <v>2800000</v>
      </c>
      <c r="V79" s="23"/>
      <c r="W79" s="64"/>
      <c r="X79" s="23">
        <f t="shared" si="57"/>
        <v>2800000</v>
      </c>
    </row>
    <row r="80" spans="1:27" ht="24" x14ac:dyDescent="0.25">
      <c r="A80" s="235"/>
      <c r="B80" s="26">
        <v>77</v>
      </c>
      <c r="C80" s="19" t="s">
        <v>140</v>
      </c>
      <c r="D80" s="20" t="s">
        <v>32</v>
      </c>
      <c r="E80" s="22">
        <v>2548000</v>
      </c>
      <c r="F80" s="22">
        <v>30</v>
      </c>
      <c r="G80" s="22">
        <f t="shared" si="58"/>
        <v>2548000</v>
      </c>
      <c r="H80" s="22"/>
      <c r="I80" s="22"/>
      <c r="J80" s="22">
        <f>+E80-G80</f>
        <v>0</v>
      </c>
      <c r="K80" s="22">
        <f t="shared" si="67"/>
        <v>2548000</v>
      </c>
      <c r="L80" s="22">
        <v>101920</v>
      </c>
      <c r="M80" s="22">
        <v>101920</v>
      </c>
      <c r="N80" s="22"/>
      <c r="O80" s="58">
        <v>30900</v>
      </c>
      <c r="P80" s="22">
        <v>0</v>
      </c>
      <c r="Q80" s="22"/>
      <c r="R80" s="22"/>
      <c r="S80" s="22">
        <v>359047</v>
      </c>
      <c r="T80" s="22">
        <f t="shared" si="28"/>
        <v>593787</v>
      </c>
      <c r="U80" s="23">
        <f>K80-T80</f>
        <v>1954213</v>
      </c>
      <c r="V80" s="23"/>
      <c r="W80" s="64"/>
      <c r="X80" s="23">
        <f t="shared" si="57"/>
        <v>1954213</v>
      </c>
    </row>
    <row r="81" spans="1:24" x14ac:dyDescent="0.25">
      <c r="A81" s="235"/>
      <c r="B81" s="26">
        <v>78</v>
      </c>
      <c r="C81" s="19" t="s">
        <v>216</v>
      </c>
      <c r="D81" s="20" t="s">
        <v>32</v>
      </c>
      <c r="E81" s="22">
        <v>689455</v>
      </c>
      <c r="F81" s="22">
        <v>30</v>
      </c>
      <c r="G81" s="22">
        <f t="shared" si="58"/>
        <v>689455</v>
      </c>
      <c r="H81" s="22">
        <v>77700</v>
      </c>
      <c r="I81" s="22"/>
      <c r="J81" s="22"/>
      <c r="K81" s="22">
        <f t="shared" ref="K81" si="71">SUM(G81:I81)+J81</f>
        <v>767155</v>
      </c>
      <c r="L81" s="22">
        <f>+G81*4%</f>
        <v>27578.2</v>
      </c>
      <c r="M81" s="22">
        <f>+G81*4%</f>
        <v>27578.2</v>
      </c>
      <c r="N81" s="22"/>
      <c r="O81" s="58"/>
      <c r="P81" s="22"/>
      <c r="Q81" s="22"/>
      <c r="R81" s="22"/>
      <c r="S81" s="22"/>
      <c r="T81" s="22">
        <f t="shared" si="28"/>
        <v>55156.4</v>
      </c>
      <c r="U81" s="23">
        <f>K81-T81</f>
        <v>711998.6</v>
      </c>
      <c r="V81" s="23"/>
      <c r="W81" s="64"/>
      <c r="X81" s="23">
        <f t="shared" si="57"/>
        <v>711998.6</v>
      </c>
    </row>
    <row r="82" spans="1:24" x14ac:dyDescent="0.25">
      <c r="A82" s="235"/>
      <c r="B82" s="26">
        <v>79</v>
      </c>
      <c r="C82" s="30" t="s">
        <v>144</v>
      </c>
      <c r="D82" s="26" t="s">
        <v>32</v>
      </c>
      <c r="E82" s="22">
        <v>689455</v>
      </c>
      <c r="F82" s="22">
        <v>30</v>
      </c>
      <c r="G82" s="22">
        <f>+E82/30*F82</f>
        <v>689455</v>
      </c>
      <c r="H82" s="22">
        <v>77700</v>
      </c>
      <c r="I82" s="22"/>
      <c r="J82" s="22">
        <v>157635</v>
      </c>
      <c r="K82" s="22">
        <f t="shared" si="67"/>
        <v>924790</v>
      </c>
      <c r="L82" s="22">
        <f>+G82*4%</f>
        <v>27578.2</v>
      </c>
      <c r="M82" s="22">
        <f>+G82*4%</f>
        <v>27578.2</v>
      </c>
      <c r="N82" s="22"/>
      <c r="O82" s="58"/>
      <c r="P82" s="22">
        <v>0</v>
      </c>
      <c r="Q82" s="22"/>
      <c r="R82" s="22"/>
      <c r="S82" s="22"/>
      <c r="T82" s="22">
        <f t="shared" si="28"/>
        <v>55156.4</v>
      </c>
      <c r="U82" s="23">
        <f>K82-T82</f>
        <v>869633.6</v>
      </c>
      <c r="V82" s="23"/>
      <c r="W82" s="64"/>
      <c r="X82" s="23">
        <f t="shared" si="57"/>
        <v>869633.6</v>
      </c>
    </row>
    <row r="83" spans="1:24" x14ac:dyDescent="0.25">
      <c r="A83" s="235"/>
      <c r="B83" s="26">
        <v>80</v>
      </c>
      <c r="C83" s="19" t="s">
        <v>146</v>
      </c>
      <c r="D83" s="20" t="s">
        <v>32</v>
      </c>
      <c r="E83" s="22">
        <v>15400000</v>
      </c>
      <c r="F83" s="22">
        <v>30</v>
      </c>
      <c r="G83" s="22">
        <f t="shared" ref="G83:G91" si="72">+E83/30*F83</f>
        <v>15400000</v>
      </c>
      <c r="H83" s="22"/>
      <c r="I83" s="22">
        <v>600000</v>
      </c>
      <c r="J83" s="22"/>
      <c r="K83" s="22">
        <f t="shared" si="67"/>
        <v>16000000</v>
      </c>
      <c r="L83" s="22">
        <f t="shared" ref="L83:L98" si="73">+G83*4%</f>
        <v>616000</v>
      </c>
      <c r="M83" s="22">
        <f>+G83*6%</f>
        <v>924000</v>
      </c>
      <c r="N83" s="22">
        <v>102400</v>
      </c>
      <c r="O83" s="58"/>
      <c r="P83" s="22">
        <v>916000</v>
      </c>
      <c r="Q83" s="22">
        <v>5000000</v>
      </c>
      <c r="R83" s="22">
        <v>180180</v>
      </c>
      <c r="S83" s="22">
        <v>2314715</v>
      </c>
      <c r="T83" s="22">
        <f t="shared" si="28"/>
        <v>10053295</v>
      </c>
      <c r="U83" s="23">
        <f>+K83-T83</f>
        <v>5946705</v>
      </c>
      <c r="V83" s="23"/>
      <c r="W83" s="64"/>
      <c r="X83" s="23">
        <f t="shared" si="57"/>
        <v>5946705</v>
      </c>
    </row>
    <row r="84" spans="1:24" x14ac:dyDescent="0.25">
      <c r="A84" s="235"/>
      <c r="B84" s="26">
        <v>81</v>
      </c>
      <c r="C84" s="19" t="s">
        <v>148</v>
      </c>
      <c r="D84" s="20" t="s">
        <v>32</v>
      </c>
      <c r="E84" s="22">
        <v>4500000</v>
      </c>
      <c r="F84" s="22">
        <v>30</v>
      </c>
      <c r="G84" s="22">
        <f t="shared" si="72"/>
        <v>4500000</v>
      </c>
      <c r="H84" s="22"/>
      <c r="I84" s="22"/>
      <c r="J84" s="22"/>
      <c r="K84" s="22">
        <f t="shared" si="67"/>
        <v>4500000</v>
      </c>
      <c r="L84" s="22">
        <f t="shared" si="73"/>
        <v>180000</v>
      </c>
      <c r="M84" s="22">
        <f>+G84*5%</f>
        <v>225000</v>
      </c>
      <c r="N84" s="22"/>
      <c r="O84" s="58"/>
      <c r="P84" s="22">
        <v>90000</v>
      </c>
      <c r="Q84" s="22"/>
      <c r="R84" s="22"/>
      <c r="S84" s="22"/>
      <c r="T84" s="22">
        <f t="shared" si="28"/>
        <v>495000</v>
      </c>
      <c r="U84" s="23">
        <f>+K84-T84</f>
        <v>4005000</v>
      </c>
      <c r="V84" s="23"/>
      <c r="W84" s="64"/>
      <c r="X84" s="23">
        <f t="shared" si="57"/>
        <v>4005000</v>
      </c>
    </row>
    <row r="85" spans="1:24" x14ac:dyDescent="0.25">
      <c r="A85" s="235"/>
      <c r="B85" s="26">
        <v>82</v>
      </c>
      <c r="C85" s="19" t="s">
        <v>150</v>
      </c>
      <c r="D85" s="20" t="s">
        <v>32</v>
      </c>
      <c r="E85" s="22">
        <v>1650000</v>
      </c>
      <c r="F85" s="22">
        <v>16</v>
      </c>
      <c r="G85" s="22">
        <f t="shared" si="72"/>
        <v>880000</v>
      </c>
      <c r="H85" s="22"/>
      <c r="I85" s="22"/>
      <c r="J85" s="22">
        <f>+E85-G85</f>
        <v>770000</v>
      </c>
      <c r="K85" s="22">
        <f t="shared" si="67"/>
        <v>1650000</v>
      </c>
      <c r="L85" s="22">
        <v>66000</v>
      </c>
      <c r="M85" s="22">
        <v>66000</v>
      </c>
      <c r="N85" s="22"/>
      <c r="O85" s="58"/>
      <c r="P85" s="22">
        <v>0</v>
      </c>
      <c r="Q85" s="22"/>
      <c r="R85" s="22"/>
      <c r="S85" s="22"/>
      <c r="T85" s="22">
        <f t="shared" si="28"/>
        <v>132000</v>
      </c>
      <c r="U85" s="23">
        <f>+K85-T85</f>
        <v>1518000</v>
      </c>
      <c r="V85" s="23"/>
      <c r="W85" s="64"/>
      <c r="X85" s="23">
        <f t="shared" si="57"/>
        <v>1518000</v>
      </c>
    </row>
    <row r="86" spans="1:24" x14ac:dyDescent="0.25">
      <c r="A86" s="235"/>
      <c r="B86" s="26">
        <v>83</v>
      </c>
      <c r="C86" s="30" t="s">
        <v>152</v>
      </c>
      <c r="D86" s="26" t="s">
        <v>32</v>
      </c>
      <c r="E86" s="22">
        <v>2000000</v>
      </c>
      <c r="F86" s="22">
        <v>30</v>
      </c>
      <c r="G86" s="22">
        <f t="shared" si="72"/>
        <v>2000000.0000000002</v>
      </c>
      <c r="H86" s="22"/>
      <c r="I86" s="22">
        <v>160000</v>
      </c>
      <c r="J86" s="22"/>
      <c r="K86" s="22">
        <f t="shared" si="67"/>
        <v>2160000</v>
      </c>
      <c r="L86" s="22">
        <f>+E86*4%</f>
        <v>80000</v>
      </c>
      <c r="M86" s="22">
        <v>80000</v>
      </c>
      <c r="N86" s="22"/>
      <c r="O86" s="58"/>
      <c r="P86" s="22">
        <v>0</v>
      </c>
      <c r="Q86" s="22"/>
      <c r="R86" s="22"/>
      <c r="S86" s="22"/>
      <c r="T86" s="22">
        <f t="shared" si="28"/>
        <v>160000</v>
      </c>
      <c r="U86" s="23">
        <f>K86-T86</f>
        <v>2000000</v>
      </c>
      <c r="V86" s="23"/>
      <c r="W86" s="64"/>
      <c r="X86" s="23">
        <f t="shared" si="57"/>
        <v>2000000</v>
      </c>
    </row>
    <row r="87" spans="1:24" x14ac:dyDescent="0.25">
      <c r="A87" s="235"/>
      <c r="B87" s="26">
        <v>84</v>
      </c>
      <c r="C87" s="30" t="s">
        <v>184</v>
      </c>
      <c r="D87" s="26" t="s">
        <v>32</v>
      </c>
      <c r="E87" s="22">
        <v>900000</v>
      </c>
      <c r="F87" s="22">
        <v>30</v>
      </c>
      <c r="G87" s="22">
        <f t="shared" si="72"/>
        <v>900000</v>
      </c>
      <c r="H87" s="22">
        <f>+(77700/30)*F87</f>
        <v>77700</v>
      </c>
      <c r="I87" s="22"/>
      <c r="J87" s="22"/>
      <c r="K87" s="22">
        <f t="shared" si="67"/>
        <v>977700</v>
      </c>
      <c r="L87" s="22">
        <f t="shared" si="73"/>
        <v>36000</v>
      </c>
      <c r="M87" s="22">
        <f>+G87*4%</f>
        <v>36000</v>
      </c>
      <c r="N87" s="22"/>
      <c r="O87" s="58"/>
      <c r="P87" s="22"/>
      <c r="Q87" s="22"/>
      <c r="R87" s="22"/>
      <c r="S87" s="22"/>
      <c r="T87" s="22">
        <f>SUM(L87:S87)</f>
        <v>72000</v>
      </c>
      <c r="U87" s="23">
        <f>K87-T87</f>
        <v>905700</v>
      </c>
      <c r="V87" s="23"/>
      <c r="W87" s="64"/>
      <c r="X87" s="23">
        <f t="shared" si="57"/>
        <v>905700</v>
      </c>
    </row>
    <row r="88" spans="1:24" x14ac:dyDescent="0.25">
      <c r="A88" s="235"/>
      <c r="B88" s="26">
        <v>85</v>
      </c>
      <c r="C88" s="30" t="s">
        <v>197</v>
      </c>
      <c r="D88" s="26" t="s">
        <v>32</v>
      </c>
      <c r="E88" s="22">
        <v>1200000</v>
      </c>
      <c r="F88" s="22">
        <v>30</v>
      </c>
      <c r="G88" s="22">
        <f t="shared" si="72"/>
        <v>1200000</v>
      </c>
      <c r="H88" s="22">
        <f>+(77700/30)*F88</f>
        <v>77700</v>
      </c>
      <c r="I88" s="22"/>
      <c r="J88" s="22"/>
      <c r="K88" s="22">
        <f t="shared" ref="K88" si="74">SUM(G88:I88)+J88</f>
        <v>1277700</v>
      </c>
      <c r="L88" s="22">
        <f t="shared" si="73"/>
        <v>48000</v>
      </c>
      <c r="M88" s="22">
        <f>+G88*4%</f>
        <v>48000</v>
      </c>
      <c r="N88" s="22"/>
      <c r="O88" s="58"/>
      <c r="P88" s="22"/>
      <c r="Q88" s="22"/>
      <c r="R88" s="22"/>
      <c r="S88" s="22"/>
      <c r="T88" s="22">
        <f t="shared" ref="T88" si="75">SUM(L88:S88)</f>
        <v>96000</v>
      </c>
      <c r="U88" s="23">
        <f>K88-T88</f>
        <v>1181700</v>
      </c>
      <c r="V88" s="23"/>
      <c r="W88" s="64"/>
      <c r="X88" s="23">
        <f t="shared" si="57"/>
        <v>1181700</v>
      </c>
    </row>
    <row r="89" spans="1:24" ht="24" x14ac:dyDescent="0.25">
      <c r="A89" s="235"/>
      <c r="B89" s="26">
        <v>86</v>
      </c>
      <c r="C89" s="19" t="s">
        <v>175</v>
      </c>
      <c r="D89" s="20" t="s">
        <v>32</v>
      </c>
      <c r="E89" s="22">
        <v>2500000</v>
      </c>
      <c r="F89" s="22">
        <v>30</v>
      </c>
      <c r="G89" s="22">
        <f t="shared" si="72"/>
        <v>2500000</v>
      </c>
      <c r="H89" s="22"/>
      <c r="I89" s="22"/>
      <c r="J89" s="22"/>
      <c r="K89" s="22">
        <f t="shared" si="67"/>
        <v>2500000</v>
      </c>
      <c r="L89" s="22">
        <f t="shared" si="73"/>
        <v>100000</v>
      </c>
      <c r="M89" s="22">
        <f t="shared" ref="M89:M97" si="76">+G89*4%</f>
        <v>100000</v>
      </c>
      <c r="N89" s="22"/>
      <c r="O89" s="58">
        <f>19500+36000</f>
        <v>55500</v>
      </c>
      <c r="P89" s="22"/>
      <c r="Q89" s="22"/>
      <c r="R89" s="22"/>
      <c r="S89" s="22"/>
      <c r="T89" s="22">
        <f t="shared" si="28"/>
        <v>255500</v>
      </c>
      <c r="U89" s="23">
        <f>+K89-T89</f>
        <v>2244500</v>
      </c>
      <c r="V89" s="23"/>
      <c r="W89" s="64"/>
      <c r="X89" s="23">
        <f t="shared" si="57"/>
        <v>2244500</v>
      </c>
    </row>
    <row r="90" spans="1:24" x14ac:dyDescent="0.25">
      <c r="A90" s="235"/>
      <c r="B90" s="26">
        <v>87</v>
      </c>
      <c r="C90" s="19" t="s">
        <v>88</v>
      </c>
      <c r="D90" s="20" t="s">
        <v>32</v>
      </c>
      <c r="E90" s="22">
        <v>3700000</v>
      </c>
      <c r="F90" s="22">
        <v>30</v>
      </c>
      <c r="G90" s="22">
        <f t="shared" si="72"/>
        <v>3700000</v>
      </c>
      <c r="H90" s="22"/>
      <c r="I90" s="22">
        <v>650000</v>
      </c>
      <c r="J90" s="22"/>
      <c r="K90" s="22">
        <f t="shared" ref="K90" si="77">SUM(G90:I90)+J90</f>
        <v>4350000</v>
      </c>
      <c r="L90" s="22">
        <f t="shared" si="73"/>
        <v>148000</v>
      </c>
      <c r="M90" s="22">
        <f>+G90*5%</f>
        <v>185000</v>
      </c>
      <c r="N90" s="22"/>
      <c r="O90" s="58"/>
      <c r="P90" s="22">
        <v>35000</v>
      </c>
      <c r="Q90" s="22"/>
      <c r="R90" s="22"/>
      <c r="S90" s="22"/>
      <c r="T90" s="22">
        <f t="shared" ref="T90" si="78">SUM(L90:S90)</f>
        <v>368000</v>
      </c>
      <c r="U90" s="23">
        <f>+K90-T90</f>
        <v>3982000</v>
      </c>
      <c r="V90" s="23"/>
      <c r="W90" s="64"/>
      <c r="X90" s="23">
        <f t="shared" si="57"/>
        <v>3982000</v>
      </c>
    </row>
    <row r="91" spans="1:24" x14ac:dyDescent="0.25">
      <c r="A91" s="235"/>
      <c r="B91" s="26">
        <v>88</v>
      </c>
      <c r="C91" s="19" t="s">
        <v>154</v>
      </c>
      <c r="D91" s="20" t="s">
        <v>105</v>
      </c>
      <c r="E91" s="22">
        <v>1400000</v>
      </c>
      <c r="F91" s="22">
        <v>30</v>
      </c>
      <c r="G91" s="22">
        <f t="shared" si="72"/>
        <v>1400000</v>
      </c>
      <c r="H91" s="22"/>
      <c r="I91" s="22"/>
      <c r="J91" s="22"/>
      <c r="K91" s="22">
        <f t="shared" si="67"/>
        <v>1400000</v>
      </c>
      <c r="L91" s="22">
        <v>56000</v>
      </c>
      <c r="M91" s="22">
        <v>56000</v>
      </c>
      <c r="N91" s="22"/>
      <c r="O91" s="58"/>
      <c r="P91" s="25"/>
      <c r="Q91" s="22"/>
      <c r="R91" s="22"/>
      <c r="S91" s="22"/>
      <c r="T91" s="22">
        <f t="shared" si="28"/>
        <v>112000</v>
      </c>
      <c r="U91" s="23">
        <f>+K91-T91</f>
        <v>1288000</v>
      </c>
      <c r="V91" s="23"/>
      <c r="W91" s="64"/>
      <c r="X91" s="23">
        <f t="shared" si="57"/>
        <v>1288000</v>
      </c>
    </row>
    <row r="92" spans="1:24" x14ac:dyDescent="0.25">
      <c r="A92" s="235"/>
      <c r="B92" s="26">
        <v>89</v>
      </c>
      <c r="C92" s="30" t="s">
        <v>159</v>
      </c>
      <c r="D92" s="26" t="s">
        <v>32</v>
      </c>
      <c r="E92" s="22">
        <v>1300000</v>
      </c>
      <c r="F92" s="22">
        <v>30</v>
      </c>
      <c r="G92" s="22">
        <f>+E92/30*F92</f>
        <v>1300000</v>
      </c>
      <c r="H92" s="22">
        <v>77700</v>
      </c>
      <c r="I92" s="22"/>
      <c r="J92" s="22"/>
      <c r="K92" s="22">
        <f t="shared" si="67"/>
        <v>1377700</v>
      </c>
      <c r="L92" s="22">
        <f t="shared" si="73"/>
        <v>52000</v>
      </c>
      <c r="M92" s="22">
        <f t="shared" si="76"/>
        <v>52000</v>
      </c>
      <c r="N92" s="22"/>
      <c r="O92" s="58"/>
      <c r="P92" s="22">
        <v>0</v>
      </c>
      <c r="Q92" s="22"/>
      <c r="R92" s="22"/>
      <c r="S92" s="22">
        <v>249127</v>
      </c>
      <c r="T92" s="22">
        <f t="shared" si="28"/>
        <v>353127</v>
      </c>
      <c r="U92" s="23">
        <f>K92-T92</f>
        <v>1024573</v>
      </c>
      <c r="V92" s="23"/>
      <c r="W92" s="64"/>
      <c r="X92" s="23">
        <f t="shared" si="57"/>
        <v>1024573</v>
      </c>
    </row>
    <row r="93" spans="1:24" ht="12.75" thickBot="1" x14ac:dyDescent="0.3">
      <c r="A93" s="235"/>
      <c r="B93" s="26">
        <v>90</v>
      </c>
      <c r="C93" s="19" t="s">
        <v>161</v>
      </c>
      <c r="D93" s="20" t="s">
        <v>32</v>
      </c>
      <c r="E93" s="22">
        <v>689455</v>
      </c>
      <c r="F93" s="22">
        <v>30</v>
      </c>
      <c r="G93" s="22">
        <f>+E93/30*F93</f>
        <v>689455</v>
      </c>
      <c r="H93" s="22">
        <v>77700</v>
      </c>
      <c r="I93" s="22"/>
      <c r="J93" s="68"/>
      <c r="K93" s="22">
        <f t="shared" si="67"/>
        <v>767155</v>
      </c>
      <c r="L93" s="22">
        <f t="shared" si="73"/>
        <v>27578.2</v>
      </c>
      <c r="M93" s="22">
        <f t="shared" si="76"/>
        <v>27578.2</v>
      </c>
      <c r="N93" s="22"/>
      <c r="O93" s="58"/>
      <c r="P93" s="22">
        <v>0</v>
      </c>
      <c r="Q93" s="22"/>
      <c r="R93" s="22"/>
      <c r="S93" s="22"/>
      <c r="T93" s="22">
        <f t="shared" si="28"/>
        <v>55156.4</v>
      </c>
      <c r="U93" s="23">
        <f>+K93-T93</f>
        <v>711998.6</v>
      </c>
      <c r="V93" s="23"/>
      <c r="W93" s="64"/>
      <c r="X93" s="23">
        <f t="shared" si="57"/>
        <v>711998.6</v>
      </c>
    </row>
    <row r="94" spans="1:24" ht="24.75" thickBot="1" x14ac:dyDescent="0.3">
      <c r="A94" s="235"/>
      <c r="B94" s="26">
        <v>91</v>
      </c>
      <c r="C94" s="19" t="s">
        <v>163</v>
      </c>
      <c r="D94" s="20" t="s">
        <v>32</v>
      </c>
      <c r="E94" s="22">
        <v>1200000</v>
      </c>
      <c r="F94" s="22">
        <v>23</v>
      </c>
      <c r="G94" s="22">
        <f>+E94/30*F94</f>
        <v>920000</v>
      </c>
      <c r="H94" s="22">
        <v>77700</v>
      </c>
      <c r="I94" s="69"/>
      <c r="J94" s="70">
        <f>+E94-G94</f>
        <v>280000</v>
      </c>
      <c r="K94" s="71">
        <f t="shared" si="67"/>
        <v>1277700</v>
      </c>
      <c r="L94" s="22">
        <v>48000</v>
      </c>
      <c r="M94" s="22">
        <v>48000</v>
      </c>
      <c r="N94" s="22"/>
      <c r="O94" s="58"/>
      <c r="P94" s="22">
        <v>0</v>
      </c>
      <c r="Q94" s="22"/>
      <c r="R94" s="22"/>
      <c r="S94" s="22"/>
      <c r="T94" s="22">
        <f t="shared" si="28"/>
        <v>96000</v>
      </c>
      <c r="U94" s="23">
        <f>+K94-T94</f>
        <v>1181700</v>
      </c>
      <c r="V94" s="23"/>
      <c r="W94" s="64"/>
      <c r="X94" s="23">
        <f t="shared" si="57"/>
        <v>1181700</v>
      </c>
    </row>
    <row r="95" spans="1:24" ht="24" x14ac:dyDescent="0.25">
      <c r="A95" s="72"/>
      <c r="B95" s="26">
        <v>92</v>
      </c>
      <c r="C95" s="19" t="s">
        <v>207</v>
      </c>
      <c r="D95" s="20" t="s">
        <v>32</v>
      </c>
      <c r="E95" s="22">
        <v>1100000</v>
      </c>
      <c r="F95" s="22">
        <v>30</v>
      </c>
      <c r="G95" s="22">
        <f>+E95/30*F95</f>
        <v>1100000</v>
      </c>
      <c r="H95" s="22">
        <f>+(77700/30)*F95</f>
        <v>77700</v>
      </c>
      <c r="I95" s="22"/>
      <c r="J95" s="73"/>
      <c r="K95" s="22">
        <f t="shared" ref="K95" si="79">SUM(G95:I95)+J95</f>
        <v>1177700</v>
      </c>
      <c r="L95" s="22">
        <f t="shared" ref="L95" si="80">+G95*4%</f>
        <v>44000</v>
      </c>
      <c r="M95" s="22">
        <f t="shared" ref="M95" si="81">+G95*4%</f>
        <v>44000</v>
      </c>
      <c r="N95" s="22"/>
      <c r="O95" s="58"/>
      <c r="P95" s="22">
        <v>0</v>
      </c>
      <c r="Q95" s="22"/>
      <c r="R95" s="22"/>
      <c r="S95" s="22"/>
      <c r="T95" s="22">
        <f t="shared" si="28"/>
        <v>88000</v>
      </c>
      <c r="U95" s="23">
        <f>+K95-T95</f>
        <v>1089700</v>
      </c>
      <c r="V95" s="23"/>
      <c r="W95" s="64"/>
      <c r="X95" s="23">
        <f t="shared" si="57"/>
        <v>1089700</v>
      </c>
    </row>
    <row r="96" spans="1:24" ht="18.75" customHeight="1" x14ac:dyDescent="0.25">
      <c r="A96" s="72"/>
      <c r="B96" s="26">
        <v>93</v>
      </c>
      <c r="C96" s="19" t="s">
        <v>165</v>
      </c>
      <c r="D96" s="20" t="s">
        <v>32</v>
      </c>
      <c r="E96" s="22">
        <v>2000000</v>
      </c>
      <c r="F96" s="22">
        <v>30</v>
      </c>
      <c r="G96" s="22">
        <f t="shared" ref="G96:G99" si="82">+E96/30*F96</f>
        <v>2000000.0000000002</v>
      </c>
      <c r="H96" s="22"/>
      <c r="I96" s="22"/>
      <c r="J96" s="22"/>
      <c r="K96" s="22">
        <f t="shared" si="67"/>
        <v>2000000.0000000002</v>
      </c>
      <c r="L96" s="22">
        <f t="shared" si="73"/>
        <v>80000.000000000015</v>
      </c>
      <c r="M96" s="22">
        <f t="shared" si="76"/>
        <v>80000.000000000015</v>
      </c>
      <c r="N96" s="22"/>
      <c r="O96" s="58"/>
      <c r="P96" s="22"/>
      <c r="Q96" s="22"/>
      <c r="R96" s="22"/>
      <c r="S96" s="22"/>
      <c r="T96" s="22">
        <f t="shared" si="28"/>
        <v>160000.00000000003</v>
      </c>
      <c r="U96" s="23">
        <f>+K96-T96</f>
        <v>1840000.0000000002</v>
      </c>
      <c r="V96" s="23"/>
      <c r="W96" s="64"/>
      <c r="X96" s="23">
        <f t="shared" si="57"/>
        <v>1840000.0000000002</v>
      </c>
    </row>
    <row r="97" spans="1:28" ht="24" x14ac:dyDescent="0.25">
      <c r="A97" s="72"/>
      <c r="B97" s="26">
        <v>94</v>
      </c>
      <c r="C97" s="19" t="s">
        <v>168</v>
      </c>
      <c r="D97" s="20" t="s">
        <v>32</v>
      </c>
      <c r="E97" s="22">
        <v>900000</v>
      </c>
      <c r="F97" s="22">
        <v>30</v>
      </c>
      <c r="G97" s="22">
        <f t="shared" si="82"/>
        <v>900000</v>
      </c>
      <c r="H97" s="22">
        <f>+(77700/30)*F97</f>
        <v>77700</v>
      </c>
      <c r="I97" s="22"/>
      <c r="J97" s="22"/>
      <c r="K97" s="22">
        <f t="shared" si="67"/>
        <v>977700</v>
      </c>
      <c r="L97" s="22">
        <f t="shared" si="73"/>
        <v>36000</v>
      </c>
      <c r="M97" s="22">
        <f t="shared" si="76"/>
        <v>36000</v>
      </c>
      <c r="N97" s="22"/>
      <c r="O97" s="58"/>
      <c r="P97" s="22">
        <v>0</v>
      </c>
      <c r="Q97" s="22"/>
      <c r="R97" s="22"/>
      <c r="S97" s="22"/>
      <c r="T97" s="22">
        <f t="shared" si="28"/>
        <v>72000</v>
      </c>
      <c r="U97" s="23">
        <f>K97-T97</f>
        <v>905700</v>
      </c>
      <c r="V97" s="23"/>
      <c r="W97" s="64"/>
      <c r="X97" s="23">
        <f t="shared" si="57"/>
        <v>905700</v>
      </c>
    </row>
    <row r="98" spans="1:28" x14ac:dyDescent="0.25">
      <c r="A98" s="72"/>
      <c r="B98" s="26">
        <v>95</v>
      </c>
      <c r="C98" s="19" t="s">
        <v>176</v>
      </c>
      <c r="D98" s="20" t="s">
        <v>32</v>
      </c>
      <c r="E98" s="22">
        <v>4000000</v>
      </c>
      <c r="F98" s="22">
        <v>30</v>
      </c>
      <c r="G98" s="22">
        <f t="shared" si="82"/>
        <v>4000000.0000000005</v>
      </c>
      <c r="H98" s="22"/>
      <c r="I98" s="22"/>
      <c r="J98" s="22"/>
      <c r="K98" s="22">
        <f t="shared" ref="K98" si="83">SUM(G98:I98)+J98</f>
        <v>4000000.0000000005</v>
      </c>
      <c r="L98" s="22">
        <f t="shared" si="73"/>
        <v>160000.00000000003</v>
      </c>
      <c r="M98" s="22">
        <f>+G98*5%</f>
        <v>200000.00000000003</v>
      </c>
      <c r="N98" s="22"/>
      <c r="O98" s="58">
        <f>25800+36000</f>
        <v>61800</v>
      </c>
      <c r="P98" s="22">
        <v>31064</v>
      </c>
      <c r="Q98" s="22"/>
      <c r="R98" s="22"/>
      <c r="S98" s="22"/>
      <c r="T98" s="22">
        <f t="shared" si="28"/>
        <v>452864.00000000006</v>
      </c>
      <c r="U98" s="23">
        <f>+K98-T98</f>
        <v>3547136.0000000005</v>
      </c>
      <c r="V98" s="23"/>
      <c r="W98" s="64"/>
      <c r="X98" s="23">
        <f t="shared" si="57"/>
        <v>3547136.0000000005</v>
      </c>
    </row>
    <row r="99" spans="1:28" ht="24.75" customHeight="1" x14ac:dyDescent="0.25">
      <c r="A99" s="72"/>
      <c r="B99" s="26">
        <v>96</v>
      </c>
      <c r="C99" s="19" t="s">
        <v>166</v>
      </c>
      <c r="D99" s="20" t="s">
        <v>32</v>
      </c>
      <c r="E99" s="22">
        <v>2500000</v>
      </c>
      <c r="F99" s="22">
        <v>30</v>
      </c>
      <c r="G99" s="22">
        <f t="shared" si="82"/>
        <v>2500000</v>
      </c>
      <c r="H99" s="22"/>
      <c r="I99" s="22">
        <v>500000</v>
      </c>
      <c r="J99" s="22"/>
      <c r="K99" s="22">
        <f t="shared" si="67"/>
        <v>3000000</v>
      </c>
      <c r="L99" s="22">
        <v>100000</v>
      </c>
      <c r="M99" s="22">
        <v>100000</v>
      </c>
      <c r="N99" s="22"/>
      <c r="O99" s="58">
        <v>36000</v>
      </c>
      <c r="P99" s="22">
        <v>0</v>
      </c>
      <c r="Q99" s="22"/>
      <c r="R99" s="22"/>
      <c r="S99" s="22"/>
      <c r="T99" s="22">
        <f t="shared" si="28"/>
        <v>236000</v>
      </c>
      <c r="U99" s="23">
        <f>K99-T99</f>
        <v>2764000</v>
      </c>
      <c r="V99" s="23"/>
      <c r="W99" s="64"/>
      <c r="X99" s="23">
        <f t="shared" si="57"/>
        <v>2764000</v>
      </c>
    </row>
    <row r="100" spans="1:28" s="98" customFormat="1" x14ac:dyDescent="0.25">
      <c r="A100" s="26"/>
      <c r="B100" s="26"/>
      <c r="C100" s="19" t="s">
        <v>169</v>
      </c>
      <c r="D100" s="26"/>
      <c r="E100" s="22">
        <f>SUM(E4:E99)</f>
        <v>304916653</v>
      </c>
      <c r="F100" s="22" t="s">
        <v>1</v>
      </c>
      <c r="G100" s="22">
        <f>SUM(G4:G99)</f>
        <v>291070252</v>
      </c>
      <c r="H100" s="22">
        <f>SUM(H5:H94)</f>
        <v>3199715</v>
      </c>
      <c r="I100" s="22">
        <f>SUM(I5:I94)</f>
        <v>14131654</v>
      </c>
      <c r="J100" s="22">
        <f>SUM(J4:J99)</f>
        <v>23227661.666666664</v>
      </c>
      <c r="K100" s="22">
        <f>SUM(K5:K94)</f>
        <v>316314282.66666669</v>
      </c>
      <c r="L100" s="22">
        <f>SUM(L5:L94)</f>
        <v>11204664.85333333</v>
      </c>
      <c r="M100" s="22">
        <f>SUM(M5:M94)</f>
        <v>13699800.126666659</v>
      </c>
      <c r="N100" s="22">
        <f>SUM(N5:N94)</f>
        <v>102400</v>
      </c>
      <c r="O100" s="58">
        <f>SUM(O4:O99)</f>
        <v>898100</v>
      </c>
      <c r="P100" s="22">
        <f>SUM(P4:P99)</f>
        <v>4472334</v>
      </c>
      <c r="Q100" s="22">
        <f>SUM(Q5:Q94)</f>
        <v>6200000</v>
      </c>
      <c r="R100" s="22">
        <f>SUM(R5:R94)</f>
        <v>1926599</v>
      </c>
      <c r="S100" s="22">
        <f>SUM(S5:S94)</f>
        <v>10091864</v>
      </c>
      <c r="T100" s="22">
        <f>SUM(T5:T94)</f>
        <v>48447897.979999989</v>
      </c>
      <c r="U100" s="23">
        <f>SUM(U4:U99)</f>
        <v>282375570.68666667</v>
      </c>
      <c r="V100" s="59">
        <f>SUM(V5:V94)</f>
        <v>0</v>
      </c>
      <c r="W100" s="94">
        <f>SUM(W5:W94)</f>
        <v>0</v>
      </c>
      <c r="X100" s="59">
        <f>SUM(X4:X99)</f>
        <v>281741272.0866667</v>
      </c>
    </row>
    <row r="101" spans="1:28" x14ac:dyDescent="0.25">
      <c r="E101" s="76"/>
      <c r="F101" s="76"/>
      <c r="G101" s="76"/>
      <c r="U101" s="77"/>
      <c r="V101" s="77"/>
      <c r="X101" s="77"/>
    </row>
    <row r="102" spans="1:28" x14ac:dyDescent="0.25"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100"/>
      <c r="P102" s="76"/>
      <c r="Q102" s="76"/>
      <c r="R102" s="76"/>
      <c r="S102" s="76"/>
      <c r="T102" s="76"/>
      <c r="U102" s="79"/>
      <c r="V102" s="75"/>
      <c r="W102" s="80"/>
      <c r="X102" s="79"/>
    </row>
    <row r="103" spans="1:28" x14ac:dyDescent="0.25"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100"/>
      <c r="P103" s="76"/>
      <c r="Q103" s="76"/>
      <c r="R103" s="76"/>
      <c r="S103" s="76"/>
      <c r="T103" s="76"/>
      <c r="U103" s="75"/>
      <c r="V103" s="75"/>
      <c r="W103" s="80"/>
      <c r="X103" s="79"/>
    </row>
    <row r="104" spans="1:28" x14ac:dyDescent="0.25">
      <c r="C104" s="81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100"/>
      <c r="P104" s="76"/>
      <c r="Q104" s="76"/>
      <c r="R104" s="76"/>
      <c r="S104" s="76"/>
      <c r="T104" s="76"/>
      <c r="U104" s="75"/>
      <c r="V104" s="75"/>
      <c r="W104" s="80"/>
      <c r="X104" s="79"/>
    </row>
    <row r="105" spans="1:28" x14ac:dyDescent="0.25">
      <c r="C105" s="81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100"/>
      <c r="P105" s="76"/>
      <c r="Q105" s="76"/>
      <c r="R105" s="76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1:28" x14ac:dyDescent="0.25">
      <c r="B106" s="102"/>
      <c r="C106" s="81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76"/>
      <c r="O106" s="103"/>
      <c r="P106" s="82"/>
      <c r="Q106" s="82"/>
      <c r="R106" s="82"/>
      <c r="S106" s="82"/>
      <c r="T106" s="82"/>
      <c r="U106" s="82"/>
      <c r="V106" s="82"/>
      <c r="W106" s="82"/>
      <c r="X106" s="82"/>
      <c r="Y106" s="75"/>
      <c r="Z106" s="75"/>
      <c r="AA106" s="75"/>
      <c r="AB106" s="75"/>
    </row>
    <row r="107" spans="1:28" x14ac:dyDescent="0.25">
      <c r="B107" s="102"/>
      <c r="C107" s="81"/>
      <c r="D107" s="75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100"/>
      <c r="P107" s="76"/>
      <c r="Q107" s="76"/>
      <c r="R107" s="76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1:28" x14ac:dyDescent="0.25">
      <c r="B108" s="102"/>
      <c r="C108" s="81"/>
      <c r="D108" s="75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100"/>
      <c r="P108" s="76"/>
      <c r="Q108" s="76"/>
      <c r="R108" s="76"/>
      <c r="S108" s="76"/>
      <c r="T108" s="76"/>
      <c r="U108" s="75"/>
      <c r="V108" s="75"/>
      <c r="W108" s="80"/>
      <c r="X108" s="75"/>
      <c r="Y108" s="75"/>
      <c r="Z108" s="75"/>
      <c r="AA108" s="75"/>
      <c r="AB108" s="75"/>
    </row>
    <row r="109" spans="1:28" x14ac:dyDescent="0.25">
      <c r="B109" s="102"/>
      <c r="C109" s="81"/>
      <c r="D109" s="7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100"/>
      <c r="P109" s="76"/>
      <c r="Q109" s="76"/>
      <c r="R109" s="76"/>
      <c r="S109" s="76"/>
      <c r="T109" s="76"/>
      <c r="U109" s="75"/>
      <c r="V109" s="75"/>
      <c r="W109" s="80"/>
      <c r="X109" s="75"/>
      <c r="Y109" s="75"/>
      <c r="Z109" s="75"/>
      <c r="AA109" s="75"/>
      <c r="AB109" s="75"/>
    </row>
    <row r="110" spans="1:28" x14ac:dyDescent="0.25">
      <c r="B110" s="10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104"/>
      <c r="P110" s="83"/>
      <c r="Q110" s="83"/>
      <c r="R110" s="83"/>
      <c r="S110" s="83"/>
      <c r="T110" s="83"/>
      <c r="U110" s="83"/>
      <c r="V110" s="84"/>
      <c r="W110" s="85"/>
      <c r="X110" s="84"/>
      <c r="Y110" s="75"/>
      <c r="Z110" s="75"/>
      <c r="AA110" s="75"/>
      <c r="AB110" s="75"/>
    </row>
    <row r="111" spans="1:28" x14ac:dyDescent="0.25">
      <c r="B111" s="105"/>
      <c r="C111" s="81"/>
      <c r="D111" s="8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106"/>
      <c r="P111" s="87"/>
      <c r="Q111" s="87"/>
      <c r="R111" s="87"/>
      <c r="S111" s="87"/>
      <c r="T111" s="87"/>
      <c r="U111" s="84"/>
      <c r="V111" s="84"/>
      <c r="W111" s="85"/>
      <c r="X111" s="84"/>
      <c r="Y111" s="75"/>
      <c r="Z111" s="75"/>
      <c r="AA111" s="75"/>
      <c r="AB111" s="75"/>
    </row>
    <row r="112" spans="1:28" x14ac:dyDescent="0.25">
      <c r="B112" s="102"/>
      <c r="C112" s="81"/>
      <c r="D112" s="75"/>
      <c r="E112" s="76"/>
      <c r="F112" s="76"/>
      <c r="G112" s="88"/>
      <c r="H112" s="76"/>
      <c r="I112" s="76"/>
      <c r="J112" s="76"/>
      <c r="K112" s="76"/>
      <c r="L112" s="76"/>
      <c r="M112" s="76"/>
      <c r="N112" s="89"/>
      <c r="O112" s="107"/>
      <c r="P112" s="89"/>
      <c r="Q112" s="89"/>
      <c r="R112" s="89"/>
      <c r="S112" s="76"/>
      <c r="T112" s="76"/>
      <c r="U112" s="75"/>
      <c r="V112" s="75"/>
      <c r="W112" s="80"/>
      <c r="X112" s="75"/>
      <c r="Y112" s="75"/>
      <c r="Z112" s="75"/>
      <c r="AA112" s="75"/>
      <c r="AB112" s="75"/>
    </row>
    <row r="113" spans="2:28" x14ac:dyDescent="0.25">
      <c r="B113" s="102"/>
      <c r="C113" s="90"/>
      <c r="D113" s="84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106"/>
      <c r="P113" s="87"/>
      <c r="Q113" s="87"/>
      <c r="R113" s="87"/>
      <c r="S113" s="87"/>
      <c r="T113" s="87"/>
      <c r="U113" s="84"/>
      <c r="V113" s="84"/>
      <c r="W113" s="85"/>
      <c r="X113" s="84"/>
      <c r="Y113" s="75"/>
      <c r="Z113" s="75"/>
      <c r="AA113" s="75"/>
      <c r="AB113" s="75"/>
    </row>
    <row r="114" spans="2:28" x14ac:dyDescent="0.25">
      <c r="B114" s="108"/>
      <c r="C114" s="90"/>
      <c r="D114" s="84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106"/>
      <c r="P114" s="87"/>
      <c r="Q114" s="87"/>
      <c r="R114" s="87"/>
      <c r="S114" s="87"/>
      <c r="T114" s="87"/>
      <c r="U114" s="84"/>
      <c r="V114" s="84"/>
      <c r="W114" s="85"/>
      <c r="X114" s="84"/>
      <c r="Y114" s="75"/>
      <c r="Z114" s="75"/>
      <c r="AA114" s="75"/>
      <c r="AB114" s="75"/>
    </row>
    <row r="115" spans="2:28" x14ac:dyDescent="0.25">
      <c r="B115" s="102"/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100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8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100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8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100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8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100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90"/>
      <c r="D119" s="84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100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84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100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81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100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100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100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100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100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100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100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100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100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100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100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100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81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100"/>
      <c r="P133" s="76"/>
      <c r="Q133" s="76"/>
      <c r="R133" s="76"/>
      <c r="S133" s="76"/>
      <c r="T133" s="76"/>
      <c r="U133" s="75"/>
      <c r="V133" s="75"/>
      <c r="W133" s="80"/>
      <c r="X133" s="75"/>
      <c r="Y133" s="75"/>
      <c r="Z133" s="75"/>
      <c r="AA133" s="75"/>
      <c r="AB133" s="75"/>
    </row>
    <row r="134" spans="2:28" x14ac:dyDescent="0.25">
      <c r="C134" s="81"/>
      <c r="D134" s="75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75"/>
      <c r="S134" s="76"/>
      <c r="T134" s="76"/>
      <c r="U134" s="75"/>
      <c r="V134" s="75"/>
      <c r="W134" s="80"/>
      <c r="X134" s="75"/>
      <c r="Y134" s="75"/>
      <c r="Z134" s="75"/>
      <c r="AA134" s="75"/>
      <c r="AB134" s="75"/>
    </row>
    <row r="135" spans="2:28" x14ac:dyDescent="0.25">
      <c r="B135" s="102"/>
      <c r="C135" s="8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  <c r="R135" s="231"/>
      <c r="S135" s="231"/>
      <c r="T135" s="231"/>
      <c r="U135" s="231"/>
      <c r="V135" s="231"/>
      <c r="W135" s="231"/>
      <c r="X135" s="231"/>
      <c r="Y135" s="75"/>
      <c r="Z135" s="75"/>
      <c r="AA135" s="75"/>
      <c r="AB135" s="75"/>
    </row>
    <row r="136" spans="2:28" x14ac:dyDescent="0.25">
      <c r="B136" s="102"/>
      <c r="C136" s="81"/>
      <c r="D136" s="75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106"/>
      <c r="P136" s="87"/>
      <c r="Q136" s="87"/>
      <c r="R136" s="87"/>
      <c r="S136" s="87"/>
      <c r="T136" s="87"/>
      <c r="U136" s="84"/>
      <c r="V136" s="84"/>
      <c r="W136" s="85"/>
      <c r="X136" s="84"/>
      <c r="Y136" s="75"/>
      <c r="Z136" s="75"/>
      <c r="AA136" s="75"/>
      <c r="AB136" s="75"/>
    </row>
    <row r="137" spans="2:28" x14ac:dyDescent="0.25">
      <c r="B137" s="102"/>
      <c r="C137" s="90"/>
      <c r="D137" s="84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106"/>
      <c r="P137" s="87"/>
      <c r="Q137" s="87"/>
      <c r="R137" s="87"/>
      <c r="S137" s="87"/>
      <c r="T137" s="87"/>
      <c r="U137" s="84"/>
      <c r="V137" s="84"/>
      <c r="W137" s="85"/>
      <c r="X137" s="84"/>
    </row>
    <row r="138" spans="2:28" x14ac:dyDescent="0.25">
      <c r="B138" s="109"/>
      <c r="C138" s="90"/>
      <c r="D138" s="84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106"/>
      <c r="P138" s="87"/>
      <c r="Q138" s="87"/>
      <c r="R138" s="87"/>
      <c r="S138" s="87"/>
      <c r="T138" s="87"/>
      <c r="U138" s="84"/>
      <c r="V138" s="84"/>
      <c r="W138" s="85"/>
      <c r="X138" s="84"/>
    </row>
    <row r="139" spans="2:28" x14ac:dyDescent="0.25">
      <c r="C139" s="90"/>
      <c r="D139" s="8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100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C140" s="90"/>
      <c r="D140" s="84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100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C141" s="90"/>
      <c r="D141" s="84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100"/>
      <c r="P141" s="76"/>
      <c r="Q141" s="76"/>
      <c r="R141" s="76"/>
      <c r="S141" s="76"/>
      <c r="T141" s="76"/>
      <c r="U141" s="79"/>
      <c r="V141" s="79"/>
      <c r="W141" s="80"/>
      <c r="X141" s="79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100"/>
      <c r="P142" s="76"/>
      <c r="Q142" s="76"/>
      <c r="R142" s="76"/>
      <c r="S142" s="76"/>
      <c r="T142" s="76"/>
      <c r="U142" s="79"/>
      <c r="V142" s="79"/>
      <c r="W142" s="80"/>
      <c r="X142" s="79"/>
    </row>
    <row r="143" spans="2:28" x14ac:dyDescent="0.25">
      <c r="C143" s="90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100"/>
      <c r="P143" s="76"/>
      <c r="Q143" s="76"/>
      <c r="R143" s="76"/>
      <c r="S143" s="76"/>
      <c r="T143" s="76"/>
      <c r="U143" s="79"/>
      <c r="V143" s="79"/>
      <c r="W143" s="80"/>
      <c r="X143" s="79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100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2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100"/>
      <c r="P145" s="76"/>
      <c r="Q145" s="76"/>
      <c r="R145" s="76"/>
      <c r="S145" s="76"/>
      <c r="T145" s="76"/>
      <c r="U145" s="79"/>
      <c r="V145" s="79"/>
      <c r="W145" s="80"/>
      <c r="X145" s="79"/>
    </row>
    <row r="146" spans="2:24" x14ac:dyDescent="0.25">
      <c r="B146" s="102"/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100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2:24" x14ac:dyDescent="0.25">
      <c r="B147" s="102"/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100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2:24" x14ac:dyDescent="0.25">
      <c r="B148" s="102"/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100"/>
      <c r="P148" s="76"/>
      <c r="Q148" s="76"/>
      <c r="R148" s="76"/>
      <c r="S148" s="76"/>
      <c r="T148" s="76"/>
      <c r="U148" s="92"/>
      <c r="V148" s="92"/>
      <c r="W148" s="80"/>
      <c r="X148" s="92"/>
    </row>
    <row r="149" spans="2:24" x14ac:dyDescent="0.25">
      <c r="B149" s="102"/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100"/>
      <c r="P149" s="76"/>
      <c r="Q149" s="76"/>
      <c r="R149" s="76"/>
      <c r="S149" s="76"/>
      <c r="T149" s="76"/>
      <c r="U149" s="93"/>
      <c r="V149" s="93"/>
      <c r="W149" s="80"/>
      <c r="X149" s="93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100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2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100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100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100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4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100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100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100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4" x14ac:dyDescent="0.25">
      <c r="C157" s="81"/>
      <c r="D157" s="75"/>
      <c r="E157" s="76"/>
      <c r="F157" s="76"/>
      <c r="G157" s="76"/>
      <c r="H157" s="76"/>
      <c r="I157" s="76"/>
      <c r="J157" s="76"/>
      <c r="K157" s="76"/>
      <c r="L157" s="76">
        <v>3003000</v>
      </c>
      <c r="M157" s="76"/>
      <c r="N157" s="76"/>
      <c r="O157" s="100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2:24" x14ac:dyDescent="0.25">
      <c r="C158" s="90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100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90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100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90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100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90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100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>
        <v>42614840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100"/>
      <c r="P162" s="76"/>
      <c r="Q162" s="76"/>
      <c r="R162" s="76"/>
      <c r="S162" s="76"/>
      <c r="T162" s="76">
        <v>412608</v>
      </c>
      <c r="U162" s="75"/>
      <c r="V162" s="75"/>
      <c r="W162" s="80"/>
      <c r="X162" s="75"/>
    </row>
    <row r="163" spans="3:24" x14ac:dyDescent="0.25">
      <c r="C163" s="81">
        <v>9675182</v>
      </c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100"/>
      <c r="P163" s="76"/>
      <c r="Q163" s="76"/>
      <c r="R163" s="76"/>
      <c r="S163" s="76"/>
      <c r="T163" s="76">
        <v>1880000</v>
      </c>
      <c r="U163" s="75"/>
      <c r="V163" s="75"/>
      <c r="W163" s="80"/>
      <c r="X163" s="75"/>
    </row>
    <row r="164" spans="3:24" x14ac:dyDescent="0.25">
      <c r="C164" s="81">
        <v>17903600</v>
      </c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100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>
        <f>SUM(C162:C164)</f>
        <v>70193622</v>
      </c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100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81">
        <v>400000</v>
      </c>
      <c r="D166" s="75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100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81">
        <f>+C165+C166</f>
        <v>70593622</v>
      </c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100"/>
      <c r="P167" s="76"/>
      <c r="Q167" s="76"/>
      <c r="R167" s="76"/>
      <c r="S167" s="76"/>
      <c r="T167" s="76"/>
      <c r="U167" s="75"/>
      <c r="V167" s="75"/>
      <c r="W167" s="80"/>
      <c r="X167" s="75"/>
    </row>
    <row r="170" spans="3:24" x14ac:dyDescent="0.25">
      <c r="C170" s="74">
        <v>64000000</v>
      </c>
    </row>
    <row r="171" spans="3:24" x14ac:dyDescent="0.25">
      <c r="C171" s="74">
        <v>11000000</v>
      </c>
    </row>
    <row r="172" spans="3:24" x14ac:dyDescent="0.25">
      <c r="C172" s="74">
        <f>+C170+C171</f>
        <v>75000000</v>
      </c>
    </row>
    <row r="176" spans="3:24" x14ac:dyDescent="0.25">
      <c r="C176" s="74">
        <v>2745000</v>
      </c>
    </row>
    <row r="177" spans="3:3" x14ac:dyDescent="0.25">
      <c r="C177" s="74">
        <v>3185000</v>
      </c>
    </row>
    <row r="178" spans="3:3" x14ac:dyDescent="0.25">
      <c r="C178" s="74">
        <v>1080000</v>
      </c>
    </row>
    <row r="179" spans="3:3" x14ac:dyDescent="0.25">
      <c r="C179" s="74">
        <v>4850100</v>
      </c>
    </row>
    <row r="180" spans="3:3" x14ac:dyDescent="0.25">
      <c r="C180" s="74">
        <v>5027500</v>
      </c>
    </row>
    <row r="181" spans="3:3" x14ac:dyDescent="0.25">
      <c r="C181" s="74">
        <v>4566000</v>
      </c>
    </row>
    <row r="182" spans="3:3" x14ac:dyDescent="0.25">
      <c r="C182" s="74">
        <v>1050000</v>
      </c>
    </row>
    <row r="183" spans="3:3" x14ac:dyDescent="0.25">
      <c r="C183" s="74">
        <v>3877333</v>
      </c>
    </row>
    <row r="184" spans="3:3" x14ac:dyDescent="0.25">
      <c r="C184" s="74">
        <v>6732440</v>
      </c>
    </row>
    <row r="185" spans="3:3" x14ac:dyDescent="0.25">
      <c r="C185" s="74">
        <v>3460000</v>
      </c>
    </row>
    <row r="186" spans="3:3" x14ac:dyDescent="0.25">
      <c r="C186" s="74">
        <v>588800</v>
      </c>
    </row>
    <row r="187" spans="3:3" x14ac:dyDescent="0.25">
      <c r="C187" s="74">
        <v>1868000</v>
      </c>
    </row>
    <row r="188" spans="3:3" x14ac:dyDescent="0.25">
      <c r="C188" s="74">
        <v>10313000</v>
      </c>
    </row>
    <row r="189" spans="3:3" x14ac:dyDescent="0.25">
      <c r="C189" s="74">
        <v>3443800</v>
      </c>
    </row>
    <row r="190" spans="3:3" x14ac:dyDescent="0.25">
      <c r="C190" s="74">
        <v>8136400</v>
      </c>
    </row>
    <row r="191" spans="3:3" x14ac:dyDescent="0.25">
      <c r="C191" s="74">
        <v>9675183</v>
      </c>
    </row>
    <row r="192" spans="3:3" x14ac:dyDescent="0.25">
      <c r="C192" s="74">
        <f>SUM(C176:C191)</f>
        <v>70598556</v>
      </c>
    </row>
  </sheetData>
  <mergeCells count="7">
    <mergeCell ref="D135:X135"/>
    <mergeCell ref="C1:U1"/>
    <mergeCell ref="E2:K2"/>
    <mergeCell ref="L2:T2"/>
    <mergeCell ref="A3:A41"/>
    <mergeCell ref="A42:A94"/>
    <mergeCell ref="E134:Q1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B200"/>
  <sheetViews>
    <sheetView workbookViewId="0">
      <selection activeCell="L15" sqref="L15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223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66"/>
      <c r="X3" s="20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6" si="0">SUM(G4:I4)+J4</f>
        <v>4815000</v>
      </c>
      <c r="L4" s="22">
        <f t="shared" ref="L4:L45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2" si="2">SUM(L4:S4)</f>
        <v>452350</v>
      </c>
      <c r="U4" s="23">
        <f t="shared" ref="U4:U9" si="3">+K4-T4</f>
        <v>4362650</v>
      </c>
      <c r="V4" s="23"/>
      <c r="W4" s="64"/>
      <c r="X4" s="23">
        <f t="shared" ref="X4:X67" si="4">U4+V4-W4</f>
        <v>4362650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9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5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64"/>
      <c r="X6" s="23">
        <f t="shared" si="4"/>
        <v>4043000</v>
      </c>
    </row>
    <row r="7" spans="1:24" x14ac:dyDescent="0.25">
      <c r="A7" s="233"/>
      <c r="B7" s="26">
        <v>4</v>
      </c>
      <c r="C7" s="19" t="s">
        <v>224</v>
      </c>
      <c r="D7" s="20" t="s">
        <v>32</v>
      </c>
      <c r="E7" s="22">
        <v>4500000</v>
      </c>
      <c r="F7" s="22">
        <v>30</v>
      </c>
      <c r="G7" s="22">
        <f t="shared" si="5"/>
        <v>4500000</v>
      </c>
      <c r="H7" s="22"/>
      <c r="I7" s="22"/>
      <c r="J7" s="22">
        <v>400000</v>
      </c>
      <c r="K7" s="22">
        <f t="shared" ref="K7" si="7">SUM(G7:I7)+J7</f>
        <v>4900000</v>
      </c>
      <c r="L7" s="22">
        <f t="shared" si="1"/>
        <v>180000</v>
      </c>
      <c r="M7" s="22">
        <f t="shared" si="6"/>
        <v>225000</v>
      </c>
      <c r="N7" s="22"/>
      <c r="O7" s="22"/>
      <c r="P7" s="22">
        <v>72000</v>
      </c>
      <c r="Q7" s="22"/>
      <c r="R7" s="22"/>
      <c r="S7" s="22"/>
      <c r="T7" s="22">
        <f t="shared" ref="T7" si="8">SUM(L7:S7)</f>
        <v>477000</v>
      </c>
      <c r="U7" s="23">
        <f t="shared" si="3"/>
        <v>4423000</v>
      </c>
      <c r="V7" s="23"/>
      <c r="W7" s="64"/>
      <c r="X7" s="23">
        <f t="shared" si="4"/>
        <v>4423000</v>
      </c>
    </row>
    <row r="8" spans="1:24" x14ac:dyDescent="0.25">
      <c r="A8" s="233"/>
      <c r="B8" s="26">
        <v>5</v>
      </c>
      <c r="C8" s="19" t="s">
        <v>36</v>
      </c>
      <c r="D8" s="20" t="s">
        <v>32</v>
      </c>
      <c r="E8" s="22">
        <v>5492319</v>
      </c>
      <c r="F8" s="22">
        <v>30</v>
      </c>
      <c r="G8" s="22">
        <f t="shared" si="5"/>
        <v>5492319</v>
      </c>
      <c r="H8" s="22"/>
      <c r="I8" s="22"/>
      <c r="J8" s="22"/>
      <c r="K8" s="22">
        <f t="shared" si="0"/>
        <v>5492319</v>
      </c>
      <c r="L8" s="22">
        <f t="shared" si="1"/>
        <v>219692.76</v>
      </c>
      <c r="M8" s="22">
        <f>+G8*5%</f>
        <v>274615.95</v>
      </c>
      <c r="N8" s="22"/>
      <c r="O8" s="22"/>
      <c r="P8" s="25">
        <v>98000</v>
      </c>
      <c r="Q8" s="22"/>
      <c r="R8" s="22"/>
      <c r="S8" s="22">
        <v>726520</v>
      </c>
      <c r="T8" s="22">
        <f t="shared" si="2"/>
        <v>1318828.71</v>
      </c>
      <c r="U8" s="23">
        <f t="shared" si="3"/>
        <v>4173490.29</v>
      </c>
      <c r="V8" s="23"/>
      <c r="W8" s="64"/>
      <c r="X8" s="23">
        <f t="shared" si="4"/>
        <v>4173490.29</v>
      </c>
    </row>
    <row r="9" spans="1:24" x14ac:dyDescent="0.25">
      <c r="A9" s="233"/>
      <c r="B9" s="26">
        <v>6</v>
      </c>
      <c r="C9" s="19" t="s">
        <v>38</v>
      </c>
      <c r="D9" s="20" t="s">
        <v>32</v>
      </c>
      <c r="E9" s="22">
        <v>4472600</v>
      </c>
      <c r="F9" s="22">
        <v>30</v>
      </c>
      <c r="G9" s="22">
        <f t="shared" si="5"/>
        <v>4472600</v>
      </c>
      <c r="H9" s="22"/>
      <c r="I9" s="22">
        <v>2012670</v>
      </c>
      <c r="J9" s="22"/>
      <c r="K9" s="22">
        <f t="shared" si="0"/>
        <v>6485270</v>
      </c>
      <c r="L9" s="22">
        <f t="shared" si="1"/>
        <v>178904</v>
      </c>
      <c r="M9" s="22">
        <f t="shared" si="6"/>
        <v>223630</v>
      </c>
      <c r="N9" s="22"/>
      <c r="O9" s="22"/>
      <c r="P9" s="25">
        <v>68437</v>
      </c>
      <c r="Q9" s="22"/>
      <c r="R9" s="22"/>
      <c r="S9" s="22"/>
      <c r="T9" s="22">
        <f t="shared" si="2"/>
        <v>470971</v>
      </c>
      <c r="U9" s="23">
        <f t="shared" si="3"/>
        <v>6014299</v>
      </c>
      <c r="V9" s="23"/>
      <c r="W9" s="64"/>
      <c r="X9" s="23">
        <f t="shared" si="4"/>
        <v>6014299</v>
      </c>
    </row>
    <row r="10" spans="1:24" x14ac:dyDescent="0.25">
      <c r="A10" s="233"/>
      <c r="B10" s="26">
        <v>7</v>
      </c>
      <c r="C10" s="19" t="s">
        <v>40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si="0"/>
        <v>4200000</v>
      </c>
      <c r="L10" s="22">
        <f>+E10*4%</f>
        <v>168000</v>
      </c>
      <c r="M10" s="22">
        <f>+E10*5%</f>
        <v>210000</v>
      </c>
      <c r="N10" s="22"/>
      <c r="O10" s="22">
        <v>62800</v>
      </c>
      <c r="P10" s="25">
        <v>2545</v>
      </c>
      <c r="Q10" s="22"/>
      <c r="R10" s="22"/>
      <c r="S10" s="22">
        <v>945750</v>
      </c>
      <c r="T10" s="22">
        <f t="shared" si="2"/>
        <v>1389095</v>
      </c>
      <c r="U10" s="23">
        <f>K10-T10</f>
        <v>2810905</v>
      </c>
      <c r="V10" s="23"/>
      <c r="W10" s="64"/>
      <c r="X10" s="23">
        <f t="shared" si="4"/>
        <v>2810905</v>
      </c>
    </row>
    <row r="11" spans="1:24" x14ac:dyDescent="0.25">
      <c r="A11" s="233"/>
      <c r="B11" s="26">
        <v>8</v>
      </c>
      <c r="C11" s="19" t="s">
        <v>42</v>
      </c>
      <c r="D11" s="20" t="s">
        <v>32</v>
      </c>
      <c r="E11" s="22">
        <v>4200000</v>
      </c>
      <c r="F11" s="22">
        <v>30</v>
      </c>
      <c r="G11" s="22">
        <f>E11/30*F11</f>
        <v>4200000</v>
      </c>
      <c r="H11" s="22"/>
      <c r="I11" s="22"/>
      <c r="J11" s="22"/>
      <c r="K11" s="22">
        <f t="shared" ref="K11:K12" si="9">SUM(G11:I11)+J11</f>
        <v>4200000</v>
      </c>
      <c r="L11" s="22">
        <v>168000</v>
      </c>
      <c r="M11" s="22">
        <f>168000+42000</f>
        <v>210000</v>
      </c>
      <c r="N11" s="22"/>
      <c r="O11" s="22"/>
      <c r="P11" s="25">
        <v>32000</v>
      </c>
      <c r="Q11" s="22"/>
      <c r="R11" s="22"/>
      <c r="S11" s="22"/>
      <c r="T11" s="22">
        <f t="shared" ref="T11:T12" si="10">SUM(L11:S11)</f>
        <v>410000</v>
      </c>
      <c r="U11" s="23">
        <f>K11-T11</f>
        <v>3790000</v>
      </c>
      <c r="V11" s="23"/>
      <c r="W11" s="64"/>
      <c r="X11" s="23">
        <f t="shared" si="4"/>
        <v>3790000</v>
      </c>
    </row>
    <row r="12" spans="1:24" ht="24" x14ac:dyDescent="0.25">
      <c r="A12" s="233"/>
      <c r="B12" s="26">
        <v>9</v>
      </c>
      <c r="C12" s="19" t="s">
        <v>225</v>
      </c>
      <c r="D12" s="20" t="s">
        <v>105</v>
      </c>
      <c r="E12" s="22">
        <v>4500000</v>
      </c>
      <c r="F12" s="22">
        <v>8</v>
      </c>
      <c r="G12" s="22">
        <f>E12/30*F12</f>
        <v>1200000</v>
      </c>
      <c r="H12" s="22"/>
      <c r="I12" s="22"/>
      <c r="J12" s="22"/>
      <c r="K12" s="22">
        <f t="shared" si="9"/>
        <v>1200000</v>
      </c>
      <c r="L12" s="22">
        <v>48000</v>
      </c>
      <c r="M12" s="22">
        <v>48000</v>
      </c>
      <c r="N12" s="22"/>
      <c r="O12" s="22"/>
      <c r="P12" s="25">
        <v>19000</v>
      </c>
      <c r="Q12" s="22"/>
      <c r="R12" s="22"/>
      <c r="S12" s="22"/>
      <c r="T12" s="22">
        <f t="shared" si="10"/>
        <v>115000</v>
      </c>
      <c r="U12" s="23">
        <f>K12-T12</f>
        <v>1085000</v>
      </c>
      <c r="V12" s="23"/>
      <c r="W12" s="64"/>
      <c r="X12" s="23">
        <f t="shared" si="4"/>
        <v>1085000</v>
      </c>
    </row>
    <row r="13" spans="1:24" x14ac:dyDescent="0.25">
      <c r="A13" s="233"/>
      <c r="B13" s="26">
        <v>10</v>
      </c>
      <c r="C13" s="19" t="s">
        <v>44</v>
      </c>
      <c r="D13" s="20" t="s">
        <v>32</v>
      </c>
      <c r="E13" s="22">
        <v>5000000</v>
      </c>
      <c r="F13" s="22">
        <v>30</v>
      </c>
      <c r="G13" s="22">
        <f>+E13/30*F13</f>
        <v>5000000</v>
      </c>
      <c r="H13" s="22"/>
      <c r="I13" s="22">
        <v>136000</v>
      </c>
      <c r="J13" s="22"/>
      <c r="K13" s="22">
        <f t="shared" si="0"/>
        <v>5136000</v>
      </c>
      <c r="L13" s="22">
        <v>200000</v>
      </c>
      <c r="M13" s="22">
        <v>250000</v>
      </c>
      <c r="N13" s="22"/>
      <c r="O13" s="22"/>
      <c r="P13" s="22">
        <v>6248</v>
      </c>
      <c r="Q13" s="22"/>
      <c r="R13" s="22"/>
      <c r="S13" s="22"/>
      <c r="T13" s="22">
        <f t="shared" si="2"/>
        <v>456248</v>
      </c>
      <c r="U13" s="23">
        <f t="shared" ref="U13:U19" si="11">+K13-T13</f>
        <v>4679752</v>
      </c>
      <c r="V13" s="23"/>
      <c r="W13" s="64"/>
      <c r="X13" s="23">
        <f t="shared" si="4"/>
        <v>4679752</v>
      </c>
    </row>
    <row r="14" spans="1:24" x14ac:dyDescent="0.25">
      <c r="A14" s="233"/>
      <c r="B14" s="26">
        <v>11</v>
      </c>
      <c r="C14" s="30" t="s">
        <v>199</v>
      </c>
      <c r="D14" s="26" t="s">
        <v>32</v>
      </c>
      <c r="E14" s="22">
        <v>4500000</v>
      </c>
      <c r="F14" s="22">
        <v>30</v>
      </c>
      <c r="G14" s="22">
        <f t="shared" ref="G14:G19" si="12">+E14/30*F14</f>
        <v>4500000</v>
      </c>
      <c r="H14" s="22"/>
      <c r="I14" s="22"/>
      <c r="J14" s="22"/>
      <c r="K14" s="22">
        <f t="shared" si="0"/>
        <v>4500000</v>
      </c>
      <c r="L14" s="22">
        <f>+G14*4%</f>
        <v>180000</v>
      </c>
      <c r="M14" s="22">
        <f>+G14*5%</f>
        <v>225000</v>
      </c>
      <c r="N14" s="22"/>
      <c r="O14" s="22"/>
      <c r="P14" s="22">
        <v>3000</v>
      </c>
      <c r="Q14" s="22"/>
      <c r="R14" s="22"/>
      <c r="S14" s="22"/>
      <c r="T14" s="22">
        <f t="shared" si="2"/>
        <v>408000</v>
      </c>
      <c r="U14" s="23">
        <f t="shared" si="11"/>
        <v>4092000</v>
      </c>
      <c r="V14" s="23"/>
      <c r="W14" s="64"/>
      <c r="X14" s="23">
        <f t="shared" si="4"/>
        <v>4092000</v>
      </c>
    </row>
    <row r="15" spans="1:24" x14ac:dyDescent="0.25">
      <c r="A15" s="233"/>
      <c r="B15" s="26">
        <v>12</v>
      </c>
      <c r="C15" s="30" t="s">
        <v>200</v>
      </c>
      <c r="D15" s="26" t="s">
        <v>32</v>
      </c>
      <c r="E15" s="22">
        <v>4200000</v>
      </c>
      <c r="F15" s="22">
        <v>30</v>
      </c>
      <c r="G15" s="22">
        <f t="shared" si="12"/>
        <v>4200000</v>
      </c>
      <c r="H15" s="22"/>
      <c r="I15" s="22"/>
      <c r="J15" s="22"/>
      <c r="K15" s="22">
        <f t="shared" ref="K15:K17" si="13">SUM(G15:I15)+J15</f>
        <v>4200000</v>
      </c>
      <c r="L15" s="22">
        <v>168000</v>
      </c>
      <c r="M15" s="22">
        <v>210000</v>
      </c>
      <c r="N15" s="22"/>
      <c r="O15" s="22"/>
      <c r="P15" s="22">
        <v>32000</v>
      </c>
      <c r="Q15" s="22"/>
      <c r="R15" s="22"/>
      <c r="S15" s="22"/>
      <c r="T15" s="22">
        <f t="shared" ref="T15:T17" si="14">SUM(L15:S15)</f>
        <v>410000</v>
      </c>
      <c r="U15" s="23">
        <f t="shared" si="11"/>
        <v>3790000</v>
      </c>
      <c r="V15" s="23"/>
      <c r="W15" s="64"/>
      <c r="X15" s="23">
        <f t="shared" si="4"/>
        <v>3790000</v>
      </c>
    </row>
    <row r="16" spans="1:24" x14ac:dyDescent="0.25">
      <c r="A16" s="233"/>
      <c r="B16" s="26">
        <v>13</v>
      </c>
      <c r="C16" s="30" t="s">
        <v>226</v>
      </c>
      <c r="D16" s="26" t="s">
        <v>105</v>
      </c>
      <c r="E16" s="22">
        <v>4000000</v>
      </c>
      <c r="F16" s="22">
        <v>30</v>
      </c>
      <c r="G16" s="22">
        <f t="shared" si="12"/>
        <v>4000000.0000000005</v>
      </c>
      <c r="H16" s="22"/>
      <c r="I16" s="22"/>
      <c r="J16" s="22"/>
      <c r="K16" s="22">
        <f t="shared" si="13"/>
        <v>4000000.0000000005</v>
      </c>
      <c r="L16" s="22">
        <v>160000</v>
      </c>
      <c r="M16" s="22">
        <v>200000</v>
      </c>
      <c r="N16" s="22"/>
      <c r="O16" s="22"/>
      <c r="P16" s="22">
        <v>4500</v>
      </c>
      <c r="Q16" s="22"/>
      <c r="R16" s="22"/>
      <c r="S16" s="22"/>
      <c r="T16" s="22">
        <f t="shared" si="14"/>
        <v>364500</v>
      </c>
      <c r="U16" s="23">
        <f t="shared" si="11"/>
        <v>3635500.0000000005</v>
      </c>
      <c r="V16" s="23"/>
      <c r="W16" s="64"/>
      <c r="X16" s="23">
        <f t="shared" si="4"/>
        <v>3635500.0000000005</v>
      </c>
    </row>
    <row r="17" spans="1:24" x14ac:dyDescent="0.25">
      <c r="A17" s="233"/>
      <c r="B17" s="26">
        <v>14</v>
      </c>
      <c r="C17" s="30" t="s">
        <v>227</v>
      </c>
      <c r="D17" s="26" t="s">
        <v>105</v>
      </c>
      <c r="E17" s="22">
        <v>4500000</v>
      </c>
      <c r="F17" s="22">
        <v>16</v>
      </c>
      <c r="G17" s="22">
        <f t="shared" si="12"/>
        <v>2400000</v>
      </c>
      <c r="H17" s="22"/>
      <c r="I17" s="22"/>
      <c r="J17" s="22"/>
      <c r="K17" s="22">
        <f t="shared" si="13"/>
        <v>2400000</v>
      </c>
      <c r="L17" s="22">
        <v>96000</v>
      </c>
      <c r="M17" s="22">
        <v>96000</v>
      </c>
      <c r="N17" s="22"/>
      <c r="O17" s="22"/>
      <c r="P17" s="22">
        <v>39000</v>
      </c>
      <c r="Q17" s="22"/>
      <c r="R17" s="22"/>
      <c r="S17" s="22"/>
      <c r="T17" s="22">
        <f t="shared" si="14"/>
        <v>231000</v>
      </c>
      <c r="U17" s="23">
        <f t="shared" si="11"/>
        <v>2169000</v>
      </c>
      <c r="V17" s="23"/>
      <c r="W17" s="64"/>
      <c r="X17" s="23">
        <f t="shared" si="4"/>
        <v>2169000</v>
      </c>
    </row>
    <row r="18" spans="1:24" x14ac:dyDescent="0.25">
      <c r="A18" s="233"/>
      <c r="B18" s="26">
        <v>15</v>
      </c>
      <c r="C18" s="19" t="s">
        <v>49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>
        <v>450000</v>
      </c>
      <c r="J18" s="22"/>
      <c r="K18" s="22">
        <f t="shared" si="0"/>
        <v>5950000</v>
      </c>
      <c r="L18" s="22">
        <f t="shared" si="1"/>
        <v>220000</v>
      </c>
      <c r="M18" s="22">
        <f t="shared" si="6"/>
        <v>275000</v>
      </c>
      <c r="N18" s="22"/>
      <c r="O18" s="22"/>
      <c r="P18" s="25">
        <v>150521</v>
      </c>
      <c r="Q18" s="22">
        <v>400000</v>
      </c>
      <c r="R18" s="22"/>
      <c r="S18" s="22"/>
      <c r="T18" s="22">
        <f t="shared" si="2"/>
        <v>1045521</v>
      </c>
      <c r="U18" s="23">
        <f t="shared" si="11"/>
        <v>4904479</v>
      </c>
      <c r="V18" s="23"/>
      <c r="W18" s="64"/>
      <c r="X18" s="23">
        <f t="shared" si="4"/>
        <v>4904479</v>
      </c>
    </row>
    <row r="19" spans="1:24" x14ac:dyDescent="0.25">
      <c r="A19" s="233"/>
      <c r="B19" s="26">
        <v>16</v>
      </c>
      <c r="C19" s="19" t="s">
        <v>228</v>
      </c>
      <c r="D19" s="20" t="s">
        <v>32</v>
      </c>
      <c r="E19" s="22">
        <v>3500000</v>
      </c>
      <c r="F19" s="22">
        <v>30</v>
      </c>
      <c r="G19" s="22">
        <f t="shared" si="12"/>
        <v>3500000</v>
      </c>
      <c r="H19" s="22"/>
      <c r="I19" s="22"/>
      <c r="J19" s="22"/>
      <c r="K19" s="22">
        <f t="shared" ref="K19" si="15">SUM(G19:I19)+J19</f>
        <v>3500000</v>
      </c>
      <c r="L19" s="22">
        <f t="shared" si="1"/>
        <v>140000</v>
      </c>
      <c r="M19" s="22">
        <f t="shared" si="6"/>
        <v>175000</v>
      </c>
      <c r="N19" s="22"/>
      <c r="O19" s="22">
        <v>97500</v>
      </c>
      <c r="P19" s="25"/>
      <c r="Q19" s="22"/>
      <c r="R19" s="22"/>
      <c r="S19" s="22"/>
      <c r="T19" s="22">
        <f t="shared" ref="T19" si="16">SUM(L19:S19)</f>
        <v>412500</v>
      </c>
      <c r="U19" s="23">
        <f t="shared" si="11"/>
        <v>3087500</v>
      </c>
      <c r="V19" s="23"/>
      <c r="W19" s="64"/>
      <c r="X19" s="23">
        <f t="shared" si="4"/>
        <v>3087500</v>
      </c>
    </row>
    <row r="20" spans="1:24" ht="24" x14ac:dyDescent="0.25">
      <c r="A20" s="233"/>
      <c r="B20" s="26">
        <v>17</v>
      </c>
      <c r="C20" s="19" t="s">
        <v>54</v>
      </c>
      <c r="D20" s="20" t="s">
        <v>32</v>
      </c>
      <c r="E20" s="22">
        <v>5000000</v>
      </c>
      <c r="F20" s="22">
        <v>30</v>
      </c>
      <c r="G20" s="22">
        <f>E20/30*F20</f>
        <v>5000000</v>
      </c>
      <c r="H20" s="22">
        <v>90000</v>
      </c>
      <c r="I20" s="22">
        <v>900000</v>
      </c>
      <c r="J20" s="22"/>
      <c r="K20" s="22">
        <f t="shared" si="0"/>
        <v>5990000</v>
      </c>
      <c r="L20" s="22">
        <v>200000</v>
      </c>
      <c r="M20" s="22">
        <v>250000</v>
      </c>
      <c r="N20" s="22"/>
      <c r="O20" s="22"/>
      <c r="P20" s="25">
        <v>98752</v>
      </c>
      <c r="Q20" s="22"/>
      <c r="R20" s="22"/>
      <c r="S20" s="22"/>
      <c r="T20" s="22">
        <f t="shared" si="2"/>
        <v>548752</v>
      </c>
      <c r="U20" s="23">
        <f>K20-T20</f>
        <v>5441248</v>
      </c>
      <c r="V20" s="23"/>
      <c r="W20" s="64"/>
      <c r="X20" s="23">
        <f t="shared" si="4"/>
        <v>5441248</v>
      </c>
    </row>
    <row r="21" spans="1:24" x14ac:dyDescent="0.25">
      <c r="A21" s="233"/>
      <c r="B21" s="26">
        <v>18</v>
      </c>
      <c r="C21" s="19" t="s">
        <v>56</v>
      </c>
      <c r="D21" s="20" t="s">
        <v>32</v>
      </c>
      <c r="E21" s="22">
        <v>6000000</v>
      </c>
      <c r="F21" s="22">
        <v>30</v>
      </c>
      <c r="G21" s="22">
        <f t="shared" ref="G21:G30" si="17">E21/30*F21</f>
        <v>6000000</v>
      </c>
      <c r="H21" s="22"/>
      <c r="I21" s="22"/>
      <c r="J21" s="22"/>
      <c r="K21" s="22">
        <f t="shared" si="0"/>
        <v>6000000</v>
      </c>
      <c r="L21" s="22">
        <f>+G21*4%</f>
        <v>240000</v>
      </c>
      <c r="M21" s="22">
        <f>+G21*5%</f>
        <v>300000</v>
      </c>
      <c r="N21" s="22"/>
      <c r="O21" s="22"/>
      <c r="P21" s="25">
        <v>241000</v>
      </c>
      <c r="Q21" s="22"/>
      <c r="R21" s="22"/>
      <c r="S21" s="22"/>
      <c r="T21" s="22">
        <f t="shared" si="2"/>
        <v>781000</v>
      </c>
      <c r="U21" s="23">
        <f>K21-T21</f>
        <v>5219000</v>
      </c>
      <c r="V21" s="23"/>
      <c r="W21" s="64"/>
      <c r="X21" s="23">
        <f t="shared" si="4"/>
        <v>5219000</v>
      </c>
    </row>
    <row r="22" spans="1:24" x14ac:dyDescent="0.25">
      <c r="A22" s="233"/>
      <c r="B22" s="26">
        <v>19</v>
      </c>
      <c r="C22" s="19" t="s">
        <v>192</v>
      </c>
      <c r="D22" s="20" t="s">
        <v>32</v>
      </c>
      <c r="E22" s="22">
        <v>6900000</v>
      </c>
      <c r="F22" s="22">
        <v>30</v>
      </c>
      <c r="G22" s="22">
        <f t="shared" si="17"/>
        <v>6900000</v>
      </c>
      <c r="H22" s="22"/>
      <c r="I22" s="22">
        <v>1400000</v>
      </c>
      <c r="J22" s="22"/>
      <c r="K22" s="22">
        <f t="shared" ref="K22" si="18">SUM(G22:I22)+J22</f>
        <v>8300000</v>
      </c>
      <c r="L22" s="22">
        <f t="shared" ref="L22" si="19">+G22*4%</f>
        <v>276000</v>
      </c>
      <c r="M22" s="22">
        <f t="shared" ref="M22" si="20">+G22*5%</f>
        <v>345000</v>
      </c>
      <c r="N22" s="22"/>
      <c r="O22" s="22"/>
      <c r="P22" s="25">
        <v>299000</v>
      </c>
      <c r="Q22" s="22"/>
      <c r="R22" s="22"/>
      <c r="S22" s="22"/>
      <c r="T22" s="22">
        <f t="shared" ref="T22:T23" si="21">SUM(L22:S22)</f>
        <v>920000</v>
      </c>
      <c r="U22" s="23">
        <f>K22-T22</f>
        <v>7380000</v>
      </c>
      <c r="V22" s="23"/>
      <c r="W22" s="64"/>
      <c r="X22" s="23">
        <f t="shared" si="4"/>
        <v>7380000</v>
      </c>
    </row>
    <row r="23" spans="1:24" x14ac:dyDescent="0.25">
      <c r="A23" s="233"/>
      <c r="B23" s="26">
        <v>20</v>
      </c>
      <c r="C23" s="19" t="s">
        <v>229</v>
      </c>
      <c r="D23" s="20" t="s">
        <v>32</v>
      </c>
      <c r="E23" s="22">
        <v>3500000</v>
      </c>
      <c r="F23" s="22">
        <v>30</v>
      </c>
      <c r="G23" s="22">
        <f t="shared" ref="G23" si="22">+E23/30*F23</f>
        <v>3500000</v>
      </c>
      <c r="H23" s="22"/>
      <c r="I23" s="22"/>
      <c r="J23" s="22"/>
      <c r="K23" s="22">
        <f t="shared" ref="K23" si="23">SUM(G23:I23)+J23</f>
        <v>3500000</v>
      </c>
      <c r="L23" s="22">
        <v>140000</v>
      </c>
      <c r="M23" s="22">
        <v>175000</v>
      </c>
      <c r="N23" s="22"/>
      <c r="O23" s="22"/>
      <c r="P23" s="22"/>
      <c r="Q23" s="22"/>
      <c r="R23" s="22"/>
      <c r="S23" s="22"/>
      <c r="T23" s="22">
        <f t="shared" si="21"/>
        <v>315000</v>
      </c>
      <c r="U23" s="23">
        <f t="shared" ref="U23" si="24">+K23-T23</f>
        <v>3185000</v>
      </c>
      <c r="V23" s="23"/>
      <c r="W23" s="64"/>
      <c r="X23" s="23">
        <f t="shared" si="4"/>
        <v>3185000</v>
      </c>
    </row>
    <row r="24" spans="1:24" x14ac:dyDescent="0.25">
      <c r="A24" s="233"/>
      <c r="B24" s="26">
        <v>21</v>
      </c>
      <c r="C24" s="19" t="s">
        <v>59</v>
      </c>
      <c r="D24" s="20" t="s">
        <v>32</v>
      </c>
      <c r="E24" s="22">
        <v>4472600</v>
      </c>
      <c r="F24" s="22">
        <v>30</v>
      </c>
      <c r="G24" s="22">
        <f t="shared" si="17"/>
        <v>4472600</v>
      </c>
      <c r="H24" s="22"/>
      <c r="I24" s="22">
        <v>1621317</v>
      </c>
      <c r="J24" s="22"/>
      <c r="K24" s="22">
        <f t="shared" si="0"/>
        <v>6093917</v>
      </c>
      <c r="L24" s="22">
        <f t="shared" si="1"/>
        <v>178904</v>
      </c>
      <c r="M24" s="22">
        <f t="shared" si="6"/>
        <v>223630</v>
      </c>
      <c r="N24" s="22"/>
      <c r="O24" s="22"/>
      <c r="P24" s="25">
        <v>50000</v>
      </c>
      <c r="Q24" s="22">
        <v>800000</v>
      </c>
      <c r="R24" s="22"/>
      <c r="S24" s="22">
        <f>884747</f>
        <v>884747</v>
      </c>
      <c r="T24" s="22">
        <f t="shared" si="2"/>
        <v>2137281</v>
      </c>
      <c r="U24" s="23">
        <f>+K24-T24</f>
        <v>3956636</v>
      </c>
      <c r="V24" s="23"/>
      <c r="W24" s="64"/>
      <c r="X24" s="23">
        <f t="shared" si="4"/>
        <v>3956636</v>
      </c>
    </row>
    <row r="25" spans="1:24" x14ac:dyDescent="0.25">
      <c r="A25" s="233"/>
      <c r="B25" s="26">
        <v>22</v>
      </c>
      <c r="C25" s="19" t="s">
        <v>61</v>
      </c>
      <c r="D25" s="20" t="s">
        <v>32</v>
      </c>
      <c r="E25" s="22">
        <v>4000000</v>
      </c>
      <c r="F25" s="22">
        <v>30</v>
      </c>
      <c r="G25" s="22">
        <f t="shared" si="17"/>
        <v>4000000.0000000005</v>
      </c>
      <c r="H25" s="22"/>
      <c r="I25" s="22"/>
      <c r="J25" s="22"/>
      <c r="K25" s="22">
        <f t="shared" si="0"/>
        <v>4000000.0000000005</v>
      </c>
      <c r="L25" s="22">
        <f t="shared" si="1"/>
        <v>160000.00000000003</v>
      </c>
      <c r="M25" s="22">
        <f t="shared" si="6"/>
        <v>200000.00000000003</v>
      </c>
      <c r="N25" s="22"/>
      <c r="O25" s="22"/>
      <c r="P25" s="25">
        <v>31000</v>
      </c>
      <c r="Q25" s="22"/>
      <c r="R25" s="22"/>
      <c r="S25" s="22"/>
      <c r="T25" s="22">
        <f t="shared" si="2"/>
        <v>391000.00000000006</v>
      </c>
      <c r="U25" s="23">
        <f>+K25-T25</f>
        <v>3609000.0000000005</v>
      </c>
      <c r="V25" s="23"/>
      <c r="W25" s="64"/>
      <c r="X25" s="23">
        <f t="shared" si="4"/>
        <v>3609000.0000000005</v>
      </c>
    </row>
    <row r="26" spans="1:24" x14ac:dyDescent="0.25">
      <c r="A26" s="233"/>
      <c r="B26" s="26">
        <v>23</v>
      </c>
      <c r="C26" s="19" t="s">
        <v>203</v>
      </c>
      <c r="D26" s="20" t="s">
        <v>32</v>
      </c>
      <c r="E26" s="22">
        <v>5000000</v>
      </c>
      <c r="F26" s="22">
        <v>30</v>
      </c>
      <c r="G26" s="22">
        <f t="shared" si="17"/>
        <v>5000000</v>
      </c>
      <c r="H26" s="22"/>
      <c r="I26" s="22"/>
      <c r="J26" s="22"/>
      <c r="K26" s="22">
        <f t="shared" ref="K26:K27" si="25">SUM(G26:I26)+J26</f>
        <v>5000000</v>
      </c>
      <c r="L26" s="22">
        <f t="shared" si="1"/>
        <v>200000</v>
      </c>
      <c r="M26" s="22">
        <f>+E26*5%</f>
        <v>250000</v>
      </c>
      <c r="N26" s="22"/>
      <c r="O26" s="22"/>
      <c r="P26" s="25">
        <v>140000</v>
      </c>
      <c r="Q26" s="22"/>
      <c r="R26" s="22"/>
      <c r="S26" s="22"/>
      <c r="T26" s="22">
        <f t="shared" ref="T26:T27" si="26">SUM(L26:S26)</f>
        <v>590000</v>
      </c>
      <c r="U26" s="23">
        <f>+K26-T26</f>
        <v>4410000</v>
      </c>
      <c r="V26" s="23"/>
      <c r="W26" s="64"/>
      <c r="X26" s="23">
        <f t="shared" si="4"/>
        <v>4410000</v>
      </c>
    </row>
    <row r="27" spans="1:24" x14ac:dyDescent="0.25">
      <c r="A27" s="233"/>
      <c r="B27" s="26">
        <v>24</v>
      </c>
      <c r="C27" s="19" t="s">
        <v>219</v>
      </c>
      <c r="D27" s="20" t="s">
        <v>32</v>
      </c>
      <c r="E27" s="22">
        <v>4500000</v>
      </c>
      <c r="F27" s="22">
        <v>30</v>
      </c>
      <c r="G27" s="22">
        <f t="shared" si="17"/>
        <v>4500000</v>
      </c>
      <c r="H27" s="22"/>
      <c r="I27" s="22"/>
      <c r="J27" s="22"/>
      <c r="K27" s="22">
        <f t="shared" si="25"/>
        <v>4500000</v>
      </c>
      <c r="L27" s="22">
        <f>+G27*4%</f>
        <v>180000</v>
      </c>
      <c r="M27" s="22">
        <f>+G27*5%</f>
        <v>225000</v>
      </c>
      <c r="N27" s="22"/>
      <c r="O27" s="22"/>
      <c r="P27" s="25">
        <v>72000</v>
      </c>
      <c r="Q27" s="22"/>
      <c r="R27" s="22"/>
      <c r="S27" s="22"/>
      <c r="T27" s="22">
        <f t="shared" si="26"/>
        <v>477000</v>
      </c>
      <c r="U27" s="23">
        <f>+K27-T27</f>
        <v>4023000</v>
      </c>
      <c r="V27" s="23"/>
      <c r="W27" s="64"/>
      <c r="X27" s="23">
        <f t="shared" si="4"/>
        <v>4023000</v>
      </c>
    </row>
    <row r="28" spans="1:24" x14ac:dyDescent="0.25">
      <c r="A28" s="233"/>
      <c r="B28" s="26">
        <v>25</v>
      </c>
      <c r="C28" s="19" t="s">
        <v>62</v>
      </c>
      <c r="D28" s="20" t="s">
        <v>32</v>
      </c>
      <c r="E28" s="22">
        <v>5031675</v>
      </c>
      <c r="F28" s="22">
        <v>30</v>
      </c>
      <c r="G28" s="22">
        <f t="shared" si="17"/>
        <v>5031675</v>
      </c>
      <c r="H28" s="22"/>
      <c r="I28" s="22">
        <v>800000</v>
      </c>
      <c r="J28" s="22"/>
      <c r="K28" s="22">
        <f t="shared" si="0"/>
        <v>5831675</v>
      </c>
      <c r="L28" s="22">
        <f>+E28*4%</f>
        <v>201267</v>
      </c>
      <c r="M28" s="22">
        <f>E28*5%</f>
        <v>251583.75</v>
      </c>
      <c r="N28" s="22"/>
      <c r="O28" s="22"/>
      <c r="P28" s="25">
        <v>44000</v>
      </c>
      <c r="Q28" s="22"/>
      <c r="R28" s="22"/>
      <c r="S28" s="22"/>
      <c r="T28" s="22">
        <f t="shared" si="2"/>
        <v>496850.75</v>
      </c>
      <c r="U28" s="23">
        <f>K28-T28</f>
        <v>5334824.25</v>
      </c>
      <c r="V28" s="23"/>
      <c r="W28" s="64"/>
      <c r="X28" s="23">
        <f t="shared" si="4"/>
        <v>5334824.25</v>
      </c>
    </row>
    <row r="29" spans="1:24" x14ac:dyDescent="0.25">
      <c r="A29" s="233"/>
      <c r="B29" s="26">
        <v>26</v>
      </c>
      <c r="C29" s="19" t="s">
        <v>64</v>
      </c>
      <c r="D29" s="20" t="s">
        <v>32</v>
      </c>
      <c r="E29" s="22">
        <v>4500000</v>
      </c>
      <c r="F29" s="22">
        <v>30</v>
      </c>
      <c r="G29" s="22">
        <f t="shared" si="17"/>
        <v>4500000</v>
      </c>
      <c r="H29" s="22"/>
      <c r="I29" s="22">
        <v>300000</v>
      </c>
      <c r="J29" s="22"/>
      <c r="K29" s="22">
        <f t="shared" si="0"/>
        <v>4800000</v>
      </c>
      <c r="L29" s="22">
        <v>180000</v>
      </c>
      <c r="M29" s="22">
        <v>225000</v>
      </c>
      <c r="N29" s="22"/>
      <c r="O29" s="22"/>
      <c r="P29" s="25">
        <v>99000</v>
      </c>
      <c r="Q29" s="22"/>
      <c r="R29" s="22"/>
      <c r="S29" s="22"/>
      <c r="T29" s="22">
        <f t="shared" si="2"/>
        <v>504000</v>
      </c>
      <c r="U29" s="23">
        <f>K29-T29</f>
        <v>4296000</v>
      </c>
      <c r="V29" s="23"/>
      <c r="W29" s="64"/>
      <c r="X29" s="23">
        <f t="shared" si="4"/>
        <v>4296000</v>
      </c>
    </row>
    <row r="30" spans="1:24" x14ac:dyDescent="0.25">
      <c r="A30" s="233"/>
      <c r="B30" s="26">
        <v>27</v>
      </c>
      <c r="C30" s="19" t="s">
        <v>230</v>
      </c>
      <c r="D30" s="20" t="s">
        <v>32</v>
      </c>
      <c r="E30" s="22">
        <v>3500000</v>
      </c>
      <c r="F30" s="22">
        <v>3</v>
      </c>
      <c r="G30" s="22">
        <f t="shared" si="17"/>
        <v>350000</v>
      </c>
      <c r="H30" s="22"/>
      <c r="I30" s="22"/>
      <c r="J30" s="22"/>
      <c r="K30" s="22">
        <f t="shared" ref="K30" si="27">SUM(G30:I30)+J30</f>
        <v>350000</v>
      </c>
      <c r="L30" s="22">
        <v>14000</v>
      </c>
      <c r="M30" s="22">
        <v>14000</v>
      </c>
      <c r="N30" s="22"/>
      <c r="O30" s="22"/>
      <c r="P30" s="25">
        <v>0</v>
      </c>
      <c r="Q30" s="22"/>
      <c r="R30" s="22"/>
      <c r="S30" s="22"/>
      <c r="T30" s="22">
        <f t="shared" ref="T30" si="28">SUM(L30:S30)</f>
        <v>28000</v>
      </c>
      <c r="U30" s="23">
        <f>K30-T30</f>
        <v>322000</v>
      </c>
      <c r="V30" s="23"/>
      <c r="W30" s="64"/>
      <c r="X30" s="23">
        <f t="shared" si="4"/>
        <v>322000</v>
      </c>
    </row>
    <row r="31" spans="1:24" x14ac:dyDescent="0.25">
      <c r="A31" s="233"/>
      <c r="B31" s="26">
        <v>28</v>
      </c>
      <c r="C31" s="19" t="s">
        <v>65</v>
      </c>
      <c r="D31" s="20" t="s">
        <v>32</v>
      </c>
      <c r="E31" s="22">
        <v>4500000</v>
      </c>
      <c r="F31" s="22">
        <v>30</v>
      </c>
      <c r="G31" s="22">
        <f t="shared" ref="G31:G54" si="29">+E31/30*F31</f>
        <v>4500000</v>
      </c>
      <c r="H31" s="22"/>
      <c r="I31" s="22"/>
      <c r="J31" s="22"/>
      <c r="K31" s="22">
        <f t="shared" si="0"/>
        <v>4500000</v>
      </c>
      <c r="L31" s="22">
        <v>180000</v>
      </c>
      <c r="M31" s="22">
        <v>225000</v>
      </c>
      <c r="N31" s="22"/>
      <c r="O31" s="22"/>
      <c r="P31" s="25">
        <v>72146</v>
      </c>
      <c r="Q31" s="22"/>
      <c r="R31" s="22"/>
      <c r="S31" s="22">
        <v>209579</v>
      </c>
      <c r="T31" s="22">
        <f t="shared" si="2"/>
        <v>686725</v>
      </c>
      <c r="U31" s="23">
        <f>K31-T31</f>
        <v>3813275</v>
      </c>
      <c r="V31" s="23"/>
      <c r="W31" s="64"/>
      <c r="X31" s="23">
        <f t="shared" si="4"/>
        <v>3813275</v>
      </c>
    </row>
    <row r="32" spans="1:24" x14ac:dyDescent="0.25">
      <c r="A32" s="233"/>
      <c r="B32" s="26">
        <v>29</v>
      </c>
      <c r="C32" s="19" t="s">
        <v>67</v>
      </c>
      <c r="D32" s="20" t="s">
        <v>32</v>
      </c>
      <c r="E32" s="22">
        <v>4000000</v>
      </c>
      <c r="F32" s="22">
        <v>30</v>
      </c>
      <c r="G32" s="22">
        <f>E32/30*F32</f>
        <v>4000000.0000000005</v>
      </c>
      <c r="H32" s="22"/>
      <c r="I32" s="22"/>
      <c r="J32" s="22"/>
      <c r="K32" s="22">
        <f t="shared" si="0"/>
        <v>4000000.0000000005</v>
      </c>
      <c r="L32" s="22">
        <v>160000</v>
      </c>
      <c r="M32" s="22">
        <v>200000</v>
      </c>
      <c r="N32" s="22"/>
      <c r="O32" s="22"/>
      <c r="P32" s="25">
        <v>31064</v>
      </c>
      <c r="Q32" s="22"/>
      <c r="R32" s="22"/>
      <c r="S32" s="22"/>
      <c r="T32" s="22">
        <f t="shared" si="2"/>
        <v>391064</v>
      </c>
      <c r="U32" s="23">
        <f>K32-T32</f>
        <v>3608936.0000000005</v>
      </c>
      <c r="V32" s="23"/>
      <c r="W32" s="64"/>
      <c r="X32" s="23">
        <f t="shared" si="4"/>
        <v>3608936.0000000005</v>
      </c>
    </row>
    <row r="33" spans="1:24" x14ac:dyDescent="0.25">
      <c r="A33" s="233"/>
      <c r="B33" s="26">
        <v>30</v>
      </c>
      <c r="C33" s="19" t="s">
        <v>69</v>
      </c>
      <c r="D33" s="20" t="s">
        <v>32</v>
      </c>
      <c r="E33" s="22">
        <v>5136000</v>
      </c>
      <c r="F33" s="22">
        <v>30</v>
      </c>
      <c r="G33" s="22">
        <f t="shared" si="29"/>
        <v>5136000</v>
      </c>
      <c r="H33" s="22"/>
      <c r="I33" s="22"/>
      <c r="J33" s="22"/>
      <c r="K33" s="22">
        <f t="shared" si="0"/>
        <v>5136000</v>
      </c>
      <c r="L33" s="22">
        <f t="shared" si="1"/>
        <v>205440</v>
      </c>
      <c r="M33" s="22">
        <f t="shared" si="6"/>
        <v>256800</v>
      </c>
      <c r="N33" s="22"/>
      <c r="O33" s="22"/>
      <c r="P33" s="22">
        <v>131000</v>
      </c>
      <c r="Q33" s="22"/>
      <c r="R33" s="22">
        <v>122614</v>
      </c>
      <c r="S33" s="22"/>
      <c r="T33" s="22">
        <f t="shared" si="2"/>
        <v>715854</v>
      </c>
      <c r="U33" s="23">
        <f t="shared" ref="U33:U35" si="30">+K33-T33</f>
        <v>4420146</v>
      </c>
      <c r="V33" s="23"/>
      <c r="W33" s="64"/>
      <c r="X33" s="23">
        <f t="shared" si="4"/>
        <v>4420146</v>
      </c>
    </row>
    <row r="34" spans="1:24" x14ac:dyDescent="0.25">
      <c r="A34" s="233"/>
      <c r="B34" s="26">
        <v>31</v>
      </c>
      <c r="C34" s="19" t="s">
        <v>76</v>
      </c>
      <c r="D34" s="20" t="s">
        <v>32</v>
      </c>
      <c r="E34" s="22">
        <v>4000000</v>
      </c>
      <c r="F34" s="22">
        <v>30</v>
      </c>
      <c r="G34" s="22">
        <f t="shared" si="29"/>
        <v>4000000.0000000005</v>
      </c>
      <c r="H34" s="22"/>
      <c r="I34" s="22">
        <v>500000</v>
      </c>
      <c r="J34" s="22"/>
      <c r="K34" s="22">
        <f t="shared" si="0"/>
        <v>4500000</v>
      </c>
      <c r="L34" s="22">
        <f t="shared" si="1"/>
        <v>160000.00000000003</v>
      </c>
      <c r="M34" s="22">
        <f t="shared" si="6"/>
        <v>200000.00000000003</v>
      </c>
      <c r="N34" s="22"/>
      <c r="O34" s="22"/>
      <c r="P34" s="22">
        <v>4458</v>
      </c>
      <c r="Q34" s="22"/>
      <c r="R34" s="22"/>
      <c r="S34" s="22">
        <v>551399</v>
      </c>
      <c r="T34" s="22">
        <f t="shared" si="2"/>
        <v>915857</v>
      </c>
      <c r="U34" s="23">
        <f t="shared" si="30"/>
        <v>3584143</v>
      </c>
      <c r="V34" s="23"/>
      <c r="W34" s="64"/>
      <c r="X34" s="23">
        <f t="shared" si="4"/>
        <v>3584143</v>
      </c>
    </row>
    <row r="35" spans="1:24" x14ac:dyDescent="0.25">
      <c r="A35" s="233"/>
      <c r="B35" s="26">
        <v>32</v>
      </c>
      <c r="C35" s="19" t="s">
        <v>91</v>
      </c>
      <c r="D35" s="20" t="s">
        <v>32</v>
      </c>
      <c r="E35" s="22">
        <v>4500000</v>
      </c>
      <c r="F35" s="22">
        <v>30</v>
      </c>
      <c r="G35" s="22">
        <f t="shared" si="29"/>
        <v>4500000</v>
      </c>
      <c r="H35" s="22"/>
      <c r="I35" s="22"/>
      <c r="J35" s="22"/>
      <c r="K35" s="22">
        <f t="shared" si="0"/>
        <v>4500000</v>
      </c>
      <c r="L35" s="22">
        <v>180000</v>
      </c>
      <c r="M35" s="22">
        <v>225000</v>
      </c>
      <c r="N35" s="22"/>
      <c r="O35" s="22"/>
      <c r="P35" s="22">
        <v>34627</v>
      </c>
      <c r="Q35" s="22"/>
      <c r="R35" s="22"/>
      <c r="S35" s="22"/>
      <c r="T35" s="22">
        <f t="shared" si="2"/>
        <v>439627</v>
      </c>
      <c r="U35" s="23">
        <f t="shared" si="30"/>
        <v>4060373</v>
      </c>
      <c r="V35" s="23"/>
      <c r="W35" s="64"/>
      <c r="X35" s="23">
        <f t="shared" si="4"/>
        <v>4060373</v>
      </c>
    </row>
    <row r="36" spans="1:24" x14ac:dyDescent="0.25">
      <c r="A36" s="233"/>
      <c r="B36" s="26">
        <v>33</v>
      </c>
      <c r="C36" s="30" t="s">
        <v>80</v>
      </c>
      <c r="D36" s="26" t="s">
        <v>32</v>
      </c>
      <c r="E36" s="22">
        <v>4815000</v>
      </c>
      <c r="F36" s="22">
        <v>30</v>
      </c>
      <c r="G36" s="22">
        <f t="shared" si="29"/>
        <v>4815000</v>
      </c>
      <c r="H36" s="22"/>
      <c r="I36" s="22"/>
      <c r="J36" s="22"/>
      <c r="K36" s="22">
        <f t="shared" si="0"/>
        <v>4815000</v>
      </c>
      <c r="L36" s="22">
        <f>+E36*4%</f>
        <v>192600</v>
      </c>
      <c r="M36" s="22">
        <f>+E36*5%</f>
        <v>240750</v>
      </c>
      <c r="N36" s="22"/>
      <c r="O36" s="22"/>
      <c r="P36" s="22">
        <v>34627</v>
      </c>
      <c r="Q36" s="22"/>
      <c r="R36" s="22"/>
      <c r="S36" s="22">
        <v>541379</v>
      </c>
      <c r="T36" s="22">
        <f t="shared" si="2"/>
        <v>1009356</v>
      </c>
      <c r="U36" s="23">
        <f>K36-T36</f>
        <v>3805644</v>
      </c>
      <c r="V36" s="23"/>
      <c r="W36" s="64"/>
      <c r="X36" s="23">
        <f t="shared" si="4"/>
        <v>3805644</v>
      </c>
    </row>
    <row r="37" spans="1:24" ht="24" x14ac:dyDescent="0.25">
      <c r="A37" s="233"/>
      <c r="B37" s="26">
        <v>34</v>
      </c>
      <c r="C37" s="19" t="s">
        <v>85</v>
      </c>
      <c r="D37" s="20" t="s">
        <v>32</v>
      </c>
      <c r="E37" s="22">
        <v>6000000</v>
      </c>
      <c r="F37" s="22">
        <v>30</v>
      </c>
      <c r="G37" s="22">
        <f>+E37/30*F37</f>
        <v>6000000</v>
      </c>
      <c r="H37" s="22"/>
      <c r="I37" s="22"/>
      <c r="J37" s="22"/>
      <c r="K37" s="22">
        <f t="shared" ref="K37:K83" si="31">SUM(G37:I37)+J37</f>
        <v>6000000</v>
      </c>
      <c r="L37" s="22">
        <f t="shared" si="1"/>
        <v>240000</v>
      </c>
      <c r="M37" s="22">
        <f>+G37*5%</f>
        <v>300000</v>
      </c>
      <c r="N37" s="22"/>
      <c r="O37" s="22"/>
      <c r="P37" s="22">
        <v>156000</v>
      </c>
      <c r="Q37" s="22"/>
      <c r="R37" s="22"/>
      <c r="S37" s="22"/>
      <c r="T37" s="22">
        <f t="shared" si="2"/>
        <v>696000</v>
      </c>
      <c r="U37" s="23">
        <f>+K37-T37</f>
        <v>5304000</v>
      </c>
      <c r="V37" s="23"/>
      <c r="W37" s="64"/>
      <c r="X37" s="23">
        <f t="shared" si="4"/>
        <v>5304000</v>
      </c>
    </row>
    <row r="38" spans="1:24" x14ac:dyDescent="0.25">
      <c r="A38" s="233"/>
      <c r="B38" s="26">
        <v>35</v>
      </c>
      <c r="C38" s="30" t="s">
        <v>82</v>
      </c>
      <c r="D38" s="26" t="s">
        <v>32</v>
      </c>
      <c r="E38" s="22">
        <v>6900000</v>
      </c>
      <c r="F38" s="22">
        <v>30</v>
      </c>
      <c r="G38" s="22">
        <f t="shared" si="29"/>
        <v>6900000</v>
      </c>
      <c r="H38" s="22"/>
      <c r="I38" s="22">
        <v>1500000</v>
      </c>
      <c r="J38" s="22"/>
      <c r="K38" s="22">
        <f t="shared" si="31"/>
        <v>8400000</v>
      </c>
      <c r="L38" s="22">
        <v>276000</v>
      </c>
      <c r="M38" s="22">
        <v>345000</v>
      </c>
      <c r="N38" s="22"/>
      <c r="O38" s="22"/>
      <c r="P38" s="22">
        <v>345000</v>
      </c>
      <c r="Q38" s="22"/>
      <c r="R38" s="22"/>
      <c r="S38" s="22"/>
      <c r="T38" s="22">
        <f t="shared" si="2"/>
        <v>966000</v>
      </c>
      <c r="U38" s="23">
        <f>K38-T38</f>
        <v>7434000</v>
      </c>
      <c r="V38" s="23"/>
      <c r="W38" s="64"/>
      <c r="X38" s="23">
        <f t="shared" si="4"/>
        <v>7434000</v>
      </c>
    </row>
    <row r="39" spans="1:24" x14ac:dyDescent="0.25">
      <c r="A39" s="233"/>
      <c r="B39" s="26">
        <v>36</v>
      </c>
      <c r="C39" s="30" t="s">
        <v>231</v>
      </c>
      <c r="D39" s="26" t="s">
        <v>32</v>
      </c>
      <c r="E39" s="22">
        <v>5000000</v>
      </c>
      <c r="F39" s="22">
        <v>30</v>
      </c>
      <c r="G39" s="22">
        <f t="shared" si="29"/>
        <v>5000000</v>
      </c>
      <c r="H39" s="22"/>
      <c r="I39" s="22"/>
      <c r="J39" s="22"/>
      <c r="K39" s="22">
        <f t="shared" ref="K39:K40" si="32">SUM(G39:I39)+J39</f>
        <v>5000000</v>
      </c>
      <c r="L39" s="22">
        <v>200000</v>
      </c>
      <c r="M39" s="22"/>
      <c r="N39" s="22"/>
      <c r="O39" s="22"/>
      <c r="P39" s="22">
        <v>175000</v>
      </c>
      <c r="Q39" s="22"/>
      <c r="R39" s="22"/>
      <c r="S39" s="22"/>
      <c r="T39" s="22">
        <f t="shared" ref="T39:T40" si="33">SUM(L39:S39)</f>
        <v>375000</v>
      </c>
      <c r="U39" s="23">
        <f t="shared" ref="U39:U40" si="34">K39-T39</f>
        <v>4625000</v>
      </c>
      <c r="V39" s="23"/>
      <c r="W39" s="64"/>
      <c r="X39" s="23">
        <f t="shared" si="4"/>
        <v>4625000</v>
      </c>
    </row>
    <row r="40" spans="1:24" x14ac:dyDescent="0.25">
      <c r="A40" s="233"/>
      <c r="B40" s="26">
        <v>37</v>
      </c>
      <c r="C40" s="30" t="s">
        <v>232</v>
      </c>
      <c r="D40" s="26" t="s">
        <v>32</v>
      </c>
      <c r="E40" s="22">
        <v>4500000</v>
      </c>
      <c r="F40" s="22">
        <v>16</v>
      </c>
      <c r="G40" s="22">
        <f t="shared" si="29"/>
        <v>2400000</v>
      </c>
      <c r="H40" s="22"/>
      <c r="I40" s="22"/>
      <c r="J40" s="22"/>
      <c r="K40" s="22">
        <f t="shared" si="32"/>
        <v>2400000</v>
      </c>
      <c r="L40" s="22">
        <v>96000</v>
      </c>
      <c r="M40" s="22">
        <v>96000</v>
      </c>
      <c r="N40" s="22"/>
      <c r="O40" s="22"/>
      <c r="P40" s="22">
        <v>39000</v>
      </c>
      <c r="Q40" s="22"/>
      <c r="R40" s="22"/>
      <c r="S40" s="22"/>
      <c r="T40" s="22">
        <f t="shared" si="33"/>
        <v>231000</v>
      </c>
      <c r="U40" s="23">
        <f t="shared" si="34"/>
        <v>2169000</v>
      </c>
      <c r="V40" s="23"/>
      <c r="W40" s="64"/>
      <c r="X40" s="23">
        <f t="shared" si="4"/>
        <v>2169000</v>
      </c>
    </row>
    <row r="41" spans="1:24" x14ac:dyDescent="0.25">
      <c r="A41" s="233"/>
      <c r="B41" s="26">
        <v>38</v>
      </c>
      <c r="C41" s="19" t="s">
        <v>92</v>
      </c>
      <c r="D41" s="20" t="s">
        <v>32</v>
      </c>
      <c r="E41" s="22">
        <v>5000000</v>
      </c>
      <c r="F41" s="22">
        <v>30</v>
      </c>
      <c r="G41" s="22">
        <f t="shared" si="29"/>
        <v>5000000</v>
      </c>
      <c r="H41" s="22"/>
      <c r="I41" s="22"/>
      <c r="J41" s="22"/>
      <c r="K41" s="22">
        <f t="shared" si="31"/>
        <v>5000000</v>
      </c>
      <c r="L41" s="22">
        <f t="shared" si="1"/>
        <v>200000</v>
      </c>
      <c r="M41" s="22">
        <f t="shared" si="6"/>
        <v>250000</v>
      </c>
      <c r="N41" s="22"/>
      <c r="O41" s="22"/>
      <c r="P41" s="22">
        <v>139833</v>
      </c>
      <c r="Q41" s="22"/>
      <c r="R41" s="22"/>
      <c r="S41" s="22"/>
      <c r="T41" s="22">
        <f>SUM(L41:S41)</f>
        <v>589833</v>
      </c>
      <c r="U41" s="23">
        <f t="shared" ref="U41:U45" si="35">+K41-T41</f>
        <v>4410167</v>
      </c>
      <c r="V41" s="23"/>
      <c r="W41" s="64"/>
      <c r="X41" s="23">
        <f t="shared" si="4"/>
        <v>4410167</v>
      </c>
    </row>
    <row r="42" spans="1:24" x14ac:dyDescent="0.25">
      <c r="A42" s="233"/>
      <c r="B42" s="26">
        <v>39</v>
      </c>
      <c r="C42" s="19" t="s">
        <v>78</v>
      </c>
      <c r="D42" s="20" t="s">
        <v>32</v>
      </c>
      <c r="E42" s="22">
        <v>4000000</v>
      </c>
      <c r="F42" s="22">
        <v>30</v>
      </c>
      <c r="G42" s="22">
        <f t="shared" si="29"/>
        <v>4000000.0000000005</v>
      </c>
      <c r="H42" s="22"/>
      <c r="I42" s="22"/>
      <c r="J42" s="22">
        <f>+E42-G42</f>
        <v>0</v>
      </c>
      <c r="K42" s="22">
        <f t="shared" si="31"/>
        <v>4000000.0000000005</v>
      </c>
      <c r="L42" s="22">
        <f>+E42*4%</f>
        <v>160000</v>
      </c>
      <c r="M42" s="22">
        <f>+E42*5%</f>
        <v>200000</v>
      </c>
      <c r="N42" s="22"/>
      <c r="O42" s="22">
        <v>36200</v>
      </c>
      <c r="P42" s="22">
        <v>0</v>
      </c>
      <c r="Q42" s="22"/>
      <c r="R42" s="22">
        <v>505000</v>
      </c>
      <c r="T42" s="22">
        <f>SUM(L42:S42)</f>
        <v>901200</v>
      </c>
      <c r="U42" s="23">
        <f t="shared" si="35"/>
        <v>3098800.0000000005</v>
      </c>
      <c r="V42" s="23"/>
      <c r="W42" s="64"/>
      <c r="X42" s="23">
        <f t="shared" si="4"/>
        <v>3098800.0000000005</v>
      </c>
    </row>
    <row r="43" spans="1:24" ht="26.25" customHeight="1" x14ac:dyDescent="0.25">
      <c r="A43" s="233"/>
      <c r="B43" s="26">
        <v>40</v>
      </c>
      <c r="C43" s="19" t="s">
        <v>193</v>
      </c>
      <c r="D43" s="20" t="s">
        <v>32</v>
      </c>
      <c r="E43" s="22">
        <v>4250000</v>
      </c>
      <c r="F43" s="22">
        <v>30</v>
      </c>
      <c r="G43" s="22">
        <f t="shared" si="29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5"/>
        <v>3829500</v>
      </c>
      <c r="V43" s="23"/>
      <c r="W43" s="64"/>
      <c r="X43" s="23">
        <f t="shared" si="4"/>
        <v>3829500</v>
      </c>
    </row>
    <row r="44" spans="1:24" ht="24" x14ac:dyDescent="0.25">
      <c r="A44" s="233"/>
      <c r="B44" s="26">
        <v>41</v>
      </c>
      <c r="C44" s="19" t="s">
        <v>89</v>
      </c>
      <c r="D44" s="20" t="s">
        <v>32</v>
      </c>
      <c r="E44" s="22">
        <v>3000000</v>
      </c>
      <c r="F44" s="22">
        <v>30</v>
      </c>
      <c r="G44" s="22">
        <f t="shared" si="29"/>
        <v>3000000</v>
      </c>
      <c r="H44" s="22"/>
      <c r="I44" s="22"/>
      <c r="J44" s="22"/>
      <c r="K44" s="22">
        <f t="shared" si="31"/>
        <v>3000000</v>
      </c>
      <c r="L44" s="22">
        <f t="shared" si="1"/>
        <v>120000</v>
      </c>
      <c r="M44" s="22">
        <f t="shared" si="6"/>
        <v>150000</v>
      </c>
      <c r="N44" s="22"/>
      <c r="O44" s="22"/>
      <c r="P44" s="22"/>
      <c r="Q44" s="22"/>
      <c r="R44" s="22"/>
      <c r="S44" s="22"/>
      <c r="T44" s="22">
        <f t="shared" si="2"/>
        <v>270000</v>
      </c>
      <c r="U44" s="23">
        <f t="shared" si="35"/>
        <v>2730000</v>
      </c>
      <c r="V44" s="23"/>
      <c r="W44" s="64"/>
      <c r="X44" s="23">
        <f t="shared" si="4"/>
        <v>2730000</v>
      </c>
    </row>
    <row r="45" spans="1:24" x14ac:dyDescent="0.25">
      <c r="A45" s="233"/>
      <c r="B45" s="26">
        <v>42</v>
      </c>
      <c r="C45" s="19" t="s">
        <v>90</v>
      </c>
      <c r="D45" s="20" t="s">
        <v>32</v>
      </c>
      <c r="E45" s="22">
        <v>4500000</v>
      </c>
      <c r="F45" s="22">
        <v>30</v>
      </c>
      <c r="G45" s="22">
        <f t="shared" si="29"/>
        <v>4500000</v>
      </c>
      <c r="H45" s="22"/>
      <c r="I45" s="22">
        <v>300000</v>
      </c>
      <c r="J45" s="22"/>
      <c r="K45" s="22">
        <f t="shared" si="31"/>
        <v>4800000</v>
      </c>
      <c r="L45" s="22">
        <f t="shared" si="1"/>
        <v>180000</v>
      </c>
      <c r="M45" s="22">
        <f t="shared" si="6"/>
        <v>225000</v>
      </c>
      <c r="N45" s="22"/>
      <c r="O45" s="22"/>
      <c r="P45" s="22">
        <v>8021</v>
      </c>
      <c r="Q45" s="22"/>
      <c r="R45" s="22"/>
      <c r="S45" s="22"/>
      <c r="T45" s="22">
        <f t="shared" si="2"/>
        <v>413021</v>
      </c>
      <c r="U45" s="23">
        <f t="shared" si="35"/>
        <v>4386979</v>
      </c>
      <c r="V45" s="23"/>
      <c r="W45" s="64"/>
      <c r="X45" s="23">
        <f t="shared" si="4"/>
        <v>4386979</v>
      </c>
    </row>
    <row r="46" spans="1:24" ht="30.75" customHeight="1" x14ac:dyDescent="0.25">
      <c r="A46" s="233"/>
      <c r="B46" s="26">
        <v>43</v>
      </c>
      <c r="C46" s="19" t="s">
        <v>94</v>
      </c>
      <c r="D46" s="20" t="s">
        <v>32</v>
      </c>
      <c r="E46" s="22">
        <v>4815000</v>
      </c>
      <c r="F46" s="22">
        <v>30</v>
      </c>
      <c r="G46" s="22">
        <f t="shared" si="29"/>
        <v>4815000</v>
      </c>
      <c r="H46" s="22"/>
      <c r="I46" s="22">
        <v>350000</v>
      </c>
      <c r="J46" s="22">
        <f>+E46-G46</f>
        <v>0</v>
      </c>
      <c r="K46" s="22">
        <f t="shared" si="31"/>
        <v>5165000</v>
      </c>
      <c r="L46" s="22">
        <v>192600</v>
      </c>
      <c r="M46" s="22">
        <v>240750</v>
      </c>
      <c r="N46" s="22"/>
      <c r="O46" s="22"/>
      <c r="P46" s="22">
        <v>89000</v>
      </c>
      <c r="Q46" s="22"/>
      <c r="R46" s="22"/>
      <c r="S46" s="22"/>
      <c r="T46" s="22">
        <f t="shared" si="2"/>
        <v>522350</v>
      </c>
      <c r="U46" s="23">
        <f>K46-T46</f>
        <v>4642650</v>
      </c>
      <c r="V46" s="23"/>
      <c r="W46" s="64"/>
      <c r="X46" s="23">
        <f t="shared" si="4"/>
        <v>4642650</v>
      </c>
    </row>
    <row r="47" spans="1:24" x14ac:dyDescent="0.25">
      <c r="A47" s="233"/>
      <c r="B47" s="26">
        <v>44</v>
      </c>
      <c r="C47" s="19" t="s">
        <v>96</v>
      </c>
      <c r="D47" s="20" t="s">
        <v>32</v>
      </c>
      <c r="E47" s="22">
        <v>6900000</v>
      </c>
      <c r="F47" s="22">
        <v>30</v>
      </c>
      <c r="G47" s="22">
        <f t="shared" si="29"/>
        <v>6900000</v>
      </c>
      <c r="H47" s="22"/>
      <c r="I47" s="22"/>
      <c r="J47" s="22"/>
      <c r="K47" s="22">
        <f t="shared" si="31"/>
        <v>6900000</v>
      </c>
      <c r="L47" s="22">
        <v>276000</v>
      </c>
      <c r="M47" s="22">
        <v>345000</v>
      </c>
      <c r="N47" s="22"/>
      <c r="O47" s="22"/>
      <c r="P47" s="22">
        <v>219000</v>
      </c>
      <c r="Q47" s="22"/>
      <c r="R47" s="22"/>
      <c r="S47" s="22"/>
      <c r="T47" s="22">
        <f t="shared" si="2"/>
        <v>840000</v>
      </c>
      <c r="U47" s="23">
        <f>K47-T47</f>
        <v>6060000</v>
      </c>
      <c r="V47" s="23"/>
      <c r="W47" s="64"/>
      <c r="X47" s="23">
        <f t="shared" si="4"/>
        <v>6060000</v>
      </c>
    </row>
    <row r="48" spans="1:24" x14ac:dyDescent="0.25">
      <c r="A48" s="234"/>
      <c r="B48" s="26">
        <v>45</v>
      </c>
      <c r="C48" s="19" t="s">
        <v>98</v>
      </c>
      <c r="D48" s="20" t="s">
        <v>32</v>
      </c>
      <c r="E48" s="22">
        <v>4000000</v>
      </c>
      <c r="F48" s="22">
        <v>30</v>
      </c>
      <c r="G48" s="22">
        <f t="shared" si="29"/>
        <v>4000000.0000000005</v>
      </c>
      <c r="H48" s="22"/>
      <c r="I48" s="22"/>
      <c r="J48" s="22"/>
      <c r="K48" s="22">
        <f t="shared" si="31"/>
        <v>4000000.0000000005</v>
      </c>
      <c r="L48" s="22">
        <v>160000</v>
      </c>
      <c r="M48" s="22">
        <v>200000</v>
      </c>
      <c r="N48" s="22"/>
      <c r="O48" s="22"/>
      <c r="P48" s="22">
        <v>31000</v>
      </c>
      <c r="Q48" s="22"/>
      <c r="R48" s="22"/>
      <c r="S48" s="22"/>
      <c r="T48" s="22">
        <f t="shared" si="2"/>
        <v>391000</v>
      </c>
      <c r="U48" s="23">
        <f>K48-T48</f>
        <v>3609000.0000000005</v>
      </c>
      <c r="V48" s="23"/>
      <c r="W48" s="64"/>
      <c r="X48" s="23">
        <f t="shared" si="4"/>
        <v>3609000.0000000005</v>
      </c>
    </row>
    <row r="49" spans="1:24" x14ac:dyDescent="0.25">
      <c r="A49" s="232" t="s">
        <v>99</v>
      </c>
      <c r="B49" s="26">
        <v>1</v>
      </c>
      <c r="C49" s="19" t="s">
        <v>233</v>
      </c>
      <c r="D49" s="20" t="s">
        <v>32</v>
      </c>
      <c r="E49" s="22">
        <v>3000000</v>
      </c>
      <c r="F49" s="22">
        <v>30</v>
      </c>
      <c r="G49" s="22">
        <f t="shared" si="29"/>
        <v>3000000</v>
      </c>
      <c r="H49" s="22"/>
      <c r="I49" s="22"/>
      <c r="J49" s="22"/>
      <c r="K49" s="22">
        <f t="shared" si="31"/>
        <v>3000000</v>
      </c>
      <c r="L49" s="22">
        <v>120000</v>
      </c>
      <c r="M49" s="22">
        <v>150000</v>
      </c>
      <c r="N49" s="22"/>
      <c r="O49" s="22"/>
      <c r="P49" s="22"/>
      <c r="Q49" s="22"/>
      <c r="R49" s="22"/>
      <c r="S49" s="22"/>
      <c r="T49" s="22">
        <f t="shared" si="2"/>
        <v>270000</v>
      </c>
      <c r="U49" s="23">
        <f>K49-T49</f>
        <v>2730000</v>
      </c>
      <c r="V49" s="23"/>
      <c r="W49" s="64"/>
      <c r="X49" s="23">
        <f t="shared" si="4"/>
        <v>2730000</v>
      </c>
    </row>
    <row r="50" spans="1:24" ht="24" customHeight="1" x14ac:dyDescent="0.25">
      <c r="A50" s="233"/>
      <c r="B50" s="26">
        <v>2</v>
      </c>
      <c r="C50" s="19" t="s">
        <v>100</v>
      </c>
      <c r="D50" s="20" t="s">
        <v>32</v>
      </c>
      <c r="E50" s="22">
        <v>3000000</v>
      </c>
      <c r="F50" s="22">
        <v>30</v>
      </c>
      <c r="G50" s="22">
        <f t="shared" si="29"/>
        <v>3000000</v>
      </c>
      <c r="H50" s="22"/>
      <c r="I50" s="22">
        <v>250000</v>
      </c>
      <c r="J50" s="22">
        <v>152804</v>
      </c>
      <c r="K50" s="22">
        <f t="shared" si="31"/>
        <v>3402804</v>
      </c>
      <c r="L50" s="22">
        <v>120000</v>
      </c>
      <c r="M50" s="22">
        <v>150000</v>
      </c>
      <c r="N50" s="22"/>
      <c r="O50" s="22"/>
      <c r="P50" s="25">
        <v>0</v>
      </c>
      <c r="Q50" s="22"/>
      <c r="R50" s="22">
        <v>163485</v>
      </c>
      <c r="S50" s="22"/>
      <c r="T50" s="22">
        <f t="shared" si="2"/>
        <v>433485</v>
      </c>
      <c r="U50" s="23">
        <f>+K50-T50</f>
        <v>2969319</v>
      </c>
      <c r="V50" s="23"/>
      <c r="W50" s="64"/>
      <c r="X50" s="23">
        <f t="shared" si="4"/>
        <v>2969319</v>
      </c>
    </row>
    <row r="51" spans="1:24" ht="25.5" customHeight="1" x14ac:dyDescent="0.25">
      <c r="A51" s="233"/>
      <c r="B51" s="26">
        <v>3</v>
      </c>
      <c r="C51" s="19" t="s">
        <v>103</v>
      </c>
      <c r="D51" s="20" t="s">
        <v>32</v>
      </c>
      <c r="E51" s="22">
        <v>689455</v>
      </c>
      <c r="F51" s="22">
        <v>30</v>
      </c>
      <c r="G51" s="22">
        <f>+E51/30*F51</f>
        <v>689455</v>
      </c>
      <c r="H51" s="22"/>
      <c r="I51" s="22"/>
      <c r="J51" s="22">
        <v>200000</v>
      </c>
      <c r="K51" s="22">
        <f t="shared" si="31"/>
        <v>889455</v>
      </c>
      <c r="L51" s="22"/>
      <c r="M51" s="22"/>
      <c r="N51" s="22"/>
      <c r="O51" s="22"/>
      <c r="P51" s="25"/>
      <c r="Q51" s="22"/>
      <c r="R51" s="22"/>
      <c r="S51" s="22"/>
      <c r="T51" s="22">
        <f t="shared" si="2"/>
        <v>0</v>
      </c>
      <c r="U51" s="23">
        <f>+K51-T51</f>
        <v>889455</v>
      </c>
      <c r="V51" s="23"/>
      <c r="W51" s="64"/>
      <c r="X51" s="23">
        <f t="shared" si="4"/>
        <v>889455</v>
      </c>
    </row>
    <row r="52" spans="1:24" x14ac:dyDescent="0.25">
      <c r="A52" s="233"/>
      <c r="B52" s="26">
        <v>4</v>
      </c>
      <c r="C52" s="30" t="s">
        <v>180</v>
      </c>
      <c r="D52" s="26" t="s">
        <v>32</v>
      </c>
      <c r="E52" s="22">
        <v>1200000</v>
      </c>
      <c r="F52" s="22">
        <v>30</v>
      </c>
      <c r="G52" s="22">
        <f t="shared" ref="G52" si="38">+E52/30*F52</f>
        <v>1200000</v>
      </c>
      <c r="H52" s="22">
        <f>+(77700/30)*F52</f>
        <v>77700</v>
      </c>
      <c r="I52" s="22"/>
      <c r="J52" s="22"/>
      <c r="K52" s="22">
        <f t="shared" ref="K52" si="39">SUM(G52:I52)+J52</f>
        <v>1277700</v>
      </c>
      <c r="L52" s="22">
        <f t="shared" ref="L52:L54" si="40">+G52*4%</f>
        <v>48000</v>
      </c>
      <c r="M52" s="22">
        <f>+G52*4%</f>
        <v>48000</v>
      </c>
      <c r="N52" s="22"/>
      <c r="O52" s="22"/>
      <c r="P52" s="22"/>
      <c r="Q52" s="22"/>
      <c r="R52" s="22"/>
      <c r="S52" s="22"/>
      <c r="T52" s="22">
        <f t="shared" si="2"/>
        <v>96000</v>
      </c>
      <c r="U52" s="23">
        <f>K52-T52</f>
        <v>1181700</v>
      </c>
      <c r="V52" s="23"/>
      <c r="W52" s="64"/>
      <c r="X52" s="23">
        <f t="shared" si="4"/>
        <v>1181700</v>
      </c>
    </row>
    <row r="53" spans="1:24" ht="18" customHeight="1" x14ac:dyDescent="0.25">
      <c r="A53" s="233"/>
      <c r="B53" s="26">
        <v>5</v>
      </c>
      <c r="C53" s="19" t="s">
        <v>102</v>
      </c>
      <c r="D53" s="20" t="s">
        <v>32</v>
      </c>
      <c r="E53" s="22">
        <v>689455</v>
      </c>
      <c r="F53" s="22">
        <v>30</v>
      </c>
      <c r="G53" s="22">
        <f t="shared" si="29"/>
        <v>689455</v>
      </c>
      <c r="H53" s="22">
        <v>77700</v>
      </c>
      <c r="I53" s="22"/>
      <c r="J53" s="22"/>
      <c r="K53" s="22">
        <f t="shared" si="31"/>
        <v>767155</v>
      </c>
      <c r="L53" s="22">
        <f t="shared" si="40"/>
        <v>27578.2</v>
      </c>
      <c r="M53" s="22">
        <f>+G53*4%</f>
        <v>27578.2</v>
      </c>
      <c r="N53" s="22"/>
      <c r="O53" s="22"/>
      <c r="P53" s="25"/>
      <c r="Q53" s="22"/>
      <c r="R53" s="22"/>
      <c r="S53" s="22"/>
      <c r="T53" s="22">
        <f t="shared" ref="T53:T107" si="41">SUM(L53:S53)</f>
        <v>55156.4</v>
      </c>
      <c r="U53" s="23">
        <f>+K53-T53</f>
        <v>711998.6</v>
      </c>
      <c r="V53" s="23"/>
      <c r="W53" s="64"/>
      <c r="X53" s="23">
        <f t="shared" si="4"/>
        <v>711998.6</v>
      </c>
    </row>
    <row r="54" spans="1:24" x14ac:dyDescent="0.25">
      <c r="A54" s="233"/>
      <c r="B54" s="26">
        <v>6</v>
      </c>
      <c r="C54" s="30" t="s">
        <v>181</v>
      </c>
      <c r="D54" s="26" t="s">
        <v>32</v>
      </c>
      <c r="E54" s="22">
        <v>1200000</v>
      </c>
      <c r="F54" s="22">
        <v>30</v>
      </c>
      <c r="G54" s="22">
        <f t="shared" si="29"/>
        <v>1200000</v>
      </c>
      <c r="H54" s="22">
        <f>+(77700/30)*F54</f>
        <v>77700</v>
      </c>
      <c r="I54" s="22"/>
      <c r="J54" s="22"/>
      <c r="K54" s="22">
        <f t="shared" ref="K54" si="42">SUM(G54:I54)+J54</f>
        <v>1277700</v>
      </c>
      <c r="L54" s="22">
        <f t="shared" si="40"/>
        <v>48000</v>
      </c>
      <c r="M54" s="22">
        <f>+G54*4%</f>
        <v>48000</v>
      </c>
      <c r="N54" s="22"/>
      <c r="O54" s="22"/>
      <c r="P54" s="22"/>
      <c r="Q54" s="22"/>
      <c r="R54" s="22"/>
      <c r="S54" s="22"/>
      <c r="T54" s="22">
        <f t="shared" si="41"/>
        <v>96000</v>
      </c>
      <c r="U54" s="23">
        <f>K54-T54</f>
        <v>1181700</v>
      </c>
      <c r="V54" s="23"/>
      <c r="W54" s="64"/>
      <c r="X54" s="23">
        <f t="shared" si="4"/>
        <v>1181700</v>
      </c>
    </row>
    <row r="55" spans="1:24" x14ac:dyDescent="0.25">
      <c r="A55" s="233"/>
      <c r="B55" s="26">
        <v>7</v>
      </c>
      <c r="C55" s="19" t="s">
        <v>104</v>
      </c>
      <c r="D55" s="20" t="s">
        <v>105</v>
      </c>
      <c r="E55" s="22">
        <v>1100000</v>
      </c>
      <c r="F55" s="22">
        <v>30</v>
      </c>
      <c r="G55" s="22">
        <f>+E55/30*F55</f>
        <v>1100000</v>
      </c>
      <c r="H55" s="22">
        <v>77700</v>
      </c>
      <c r="I55" s="22"/>
      <c r="J55" s="22"/>
      <c r="K55" s="22">
        <f t="shared" si="31"/>
        <v>1177700</v>
      </c>
      <c r="L55" s="22">
        <v>44000</v>
      </c>
      <c r="M55" s="22">
        <v>44000</v>
      </c>
      <c r="N55" s="22"/>
      <c r="O55" s="22"/>
      <c r="P55" s="25"/>
      <c r="Q55" s="22"/>
      <c r="R55" s="22"/>
      <c r="S55" s="22"/>
      <c r="T55" s="22">
        <f>SUM(L55:S55)</f>
        <v>88000</v>
      </c>
      <c r="U55" s="23">
        <f>+K55-T55</f>
        <v>1089700</v>
      </c>
      <c r="V55" s="23"/>
      <c r="W55" s="64"/>
      <c r="X55" s="23">
        <f t="shared" si="4"/>
        <v>1089700</v>
      </c>
    </row>
    <row r="56" spans="1:24" ht="24" x14ac:dyDescent="0.25">
      <c r="A56" s="233"/>
      <c r="B56" s="26">
        <v>8</v>
      </c>
      <c r="C56" s="19" t="s">
        <v>212</v>
      </c>
      <c r="D56" s="20" t="s">
        <v>32</v>
      </c>
      <c r="E56" s="22">
        <v>1100000</v>
      </c>
      <c r="F56" s="22">
        <v>30</v>
      </c>
      <c r="G56" s="22">
        <f t="shared" ref="G56" si="43">+E56/30*F56</f>
        <v>1100000</v>
      </c>
      <c r="H56" s="22">
        <v>77700</v>
      </c>
      <c r="I56" s="22"/>
      <c r="J56" s="22"/>
      <c r="K56" s="22">
        <f t="shared" ref="K56" si="44">SUM(G56:I56)+J56</f>
        <v>1177700</v>
      </c>
      <c r="L56" s="22">
        <f t="shared" ref="L56:L59" si="45">+G56*4%</f>
        <v>44000</v>
      </c>
      <c r="M56" s="22">
        <f t="shared" ref="M56:M58" si="46">+G56*4%</f>
        <v>44000</v>
      </c>
      <c r="N56" s="22"/>
      <c r="O56" s="22"/>
      <c r="P56" s="25"/>
      <c r="Q56" s="22"/>
      <c r="R56" s="22"/>
      <c r="S56" s="22"/>
      <c r="T56" s="22">
        <f t="shared" ref="T56" si="47">SUM(L56:S56)</f>
        <v>88000</v>
      </c>
      <c r="U56" s="23">
        <f t="shared" ref="U56:U63" si="48">+K56-T56</f>
        <v>1089700</v>
      </c>
      <c r="V56" s="23"/>
      <c r="W56" s="64"/>
      <c r="X56" s="23">
        <f t="shared" si="4"/>
        <v>1089700</v>
      </c>
    </row>
    <row r="57" spans="1:24" ht="21.75" customHeight="1" x14ac:dyDescent="0.25">
      <c r="A57" s="233"/>
      <c r="B57" s="26">
        <v>9</v>
      </c>
      <c r="C57" s="19" t="s">
        <v>106</v>
      </c>
      <c r="D57" s="20" t="s">
        <v>32</v>
      </c>
      <c r="E57" s="22">
        <v>1100000</v>
      </c>
      <c r="F57" s="22">
        <v>30</v>
      </c>
      <c r="G57" s="22">
        <f>E57/30*F57</f>
        <v>1100000</v>
      </c>
      <c r="H57" s="22">
        <v>77700</v>
      </c>
      <c r="I57" s="22"/>
      <c r="J57" s="22"/>
      <c r="K57" s="22">
        <f t="shared" si="31"/>
        <v>1177700</v>
      </c>
      <c r="L57" s="22">
        <f t="shared" si="45"/>
        <v>44000</v>
      </c>
      <c r="M57" s="22">
        <f t="shared" si="46"/>
        <v>44000</v>
      </c>
      <c r="N57" s="22"/>
      <c r="O57" s="22"/>
      <c r="P57" s="22">
        <v>0</v>
      </c>
      <c r="Q57" s="22"/>
      <c r="R57" s="22"/>
      <c r="S57" s="22"/>
      <c r="T57" s="22">
        <f t="shared" si="41"/>
        <v>88000</v>
      </c>
      <c r="U57" s="23">
        <f t="shared" si="48"/>
        <v>1089700</v>
      </c>
      <c r="V57" s="23"/>
      <c r="W57" s="64"/>
      <c r="X57" s="23">
        <f t="shared" si="4"/>
        <v>1089700</v>
      </c>
    </row>
    <row r="58" spans="1:24" x14ac:dyDescent="0.25">
      <c r="A58" s="233"/>
      <c r="B58" s="26">
        <v>10</v>
      </c>
      <c r="C58" s="19" t="s">
        <v>182</v>
      </c>
      <c r="D58" s="20" t="s">
        <v>32</v>
      </c>
      <c r="E58" s="22">
        <v>689454</v>
      </c>
      <c r="F58" s="22">
        <v>30</v>
      </c>
      <c r="G58" s="22">
        <f t="shared" ref="G58" si="49">+E58/30*F58</f>
        <v>689454</v>
      </c>
      <c r="H58" s="22">
        <v>77700</v>
      </c>
      <c r="I58" s="22"/>
      <c r="J58" s="22"/>
      <c r="K58" s="22">
        <f t="shared" ref="K58" si="50">SUM(G58:I58)+J58</f>
        <v>767154</v>
      </c>
      <c r="L58" s="22">
        <f t="shared" si="45"/>
        <v>27578.16</v>
      </c>
      <c r="M58" s="22">
        <f t="shared" si="46"/>
        <v>27578.16</v>
      </c>
      <c r="N58" s="22"/>
      <c r="O58" s="22"/>
      <c r="P58" s="25"/>
      <c r="Q58" s="22"/>
      <c r="R58" s="22"/>
      <c r="S58" s="22"/>
      <c r="T58" s="22">
        <f t="shared" si="41"/>
        <v>55156.32</v>
      </c>
      <c r="U58" s="23">
        <f t="shared" si="48"/>
        <v>711997.68</v>
      </c>
      <c r="V58" s="23"/>
      <c r="W58" s="64"/>
      <c r="X58" s="23">
        <f t="shared" si="4"/>
        <v>711997.68</v>
      </c>
    </row>
    <row r="59" spans="1:24" ht="17.25" customHeight="1" x14ac:dyDescent="0.25">
      <c r="A59" s="233"/>
      <c r="B59" s="26">
        <v>11</v>
      </c>
      <c r="C59" s="19" t="s">
        <v>195</v>
      </c>
      <c r="D59" s="20" t="s">
        <v>32</v>
      </c>
      <c r="E59" s="22">
        <v>3500000</v>
      </c>
      <c r="F59" s="22">
        <v>30</v>
      </c>
      <c r="G59" s="22">
        <f>(E59/30*F59)</f>
        <v>3500000</v>
      </c>
      <c r="H59" s="22"/>
      <c r="I59" s="22">
        <v>500000</v>
      </c>
      <c r="J59" s="22"/>
      <c r="K59" s="22">
        <f t="shared" ref="K59" si="51">SUM(G59:I59)+J59</f>
        <v>4000000</v>
      </c>
      <c r="L59" s="22">
        <f t="shared" si="45"/>
        <v>140000</v>
      </c>
      <c r="M59" s="22">
        <f>+G59*5%</f>
        <v>175000</v>
      </c>
      <c r="N59" s="22"/>
      <c r="O59" s="22"/>
      <c r="P59" s="22">
        <v>0</v>
      </c>
      <c r="Q59" s="22"/>
      <c r="R59" s="22"/>
      <c r="S59" s="22"/>
      <c r="T59" s="22">
        <f t="shared" ref="T59" si="52">SUM(L59:S59)</f>
        <v>315000</v>
      </c>
      <c r="U59" s="23">
        <f t="shared" si="48"/>
        <v>3685000</v>
      </c>
      <c r="V59" s="23"/>
      <c r="W59" s="64"/>
      <c r="X59" s="23">
        <f t="shared" si="4"/>
        <v>3685000</v>
      </c>
    </row>
    <row r="60" spans="1:24" ht="17.25" customHeight="1" x14ac:dyDescent="0.25">
      <c r="A60" s="233"/>
      <c r="B60" s="26">
        <v>12</v>
      </c>
      <c r="C60" s="19" t="s">
        <v>107</v>
      </c>
      <c r="D60" s="20" t="s">
        <v>32</v>
      </c>
      <c r="E60" s="22">
        <v>1500000</v>
      </c>
      <c r="F60" s="22">
        <v>30</v>
      </c>
      <c r="G60" s="22">
        <f>(E60/30*F60)</f>
        <v>1500000</v>
      </c>
      <c r="H60" s="22"/>
      <c r="I60" s="22"/>
      <c r="J60" s="22"/>
      <c r="K60" s="22">
        <f t="shared" si="31"/>
        <v>1500000</v>
      </c>
      <c r="L60" s="22">
        <f>+E60*4%</f>
        <v>60000</v>
      </c>
      <c r="M60" s="22">
        <v>60000</v>
      </c>
      <c r="N60" s="22"/>
      <c r="O60" s="22"/>
      <c r="P60" s="22">
        <v>0</v>
      </c>
      <c r="Q60" s="22"/>
      <c r="R60" s="22"/>
      <c r="S60" s="22">
        <v>200210</v>
      </c>
      <c r="T60" s="22">
        <f t="shared" si="41"/>
        <v>320210</v>
      </c>
      <c r="U60" s="23">
        <f t="shared" si="48"/>
        <v>1179790</v>
      </c>
      <c r="V60" s="23"/>
      <c r="W60" s="64"/>
      <c r="X60" s="23">
        <f t="shared" si="4"/>
        <v>1179790</v>
      </c>
    </row>
    <row r="61" spans="1:24" ht="17.25" customHeight="1" x14ac:dyDescent="0.25">
      <c r="A61" s="233"/>
      <c r="B61" s="26">
        <v>13</v>
      </c>
      <c r="C61" s="19" t="s">
        <v>201</v>
      </c>
      <c r="D61" s="20" t="s">
        <v>32</v>
      </c>
      <c r="E61" s="22">
        <v>1000000</v>
      </c>
      <c r="F61" s="22">
        <v>30</v>
      </c>
      <c r="G61" s="22">
        <f>E61/30*F61</f>
        <v>1000000.0000000001</v>
      </c>
      <c r="H61" s="22">
        <f>+(77700/30)*30</f>
        <v>77700</v>
      </c>
      <c r="I61" s="22"/>
      <c r="J61" s="22"/>
      <c r="K61" s="22">
        <f t="shared" ref="K61" si="53">SUM(G61:I61)+J61</f>
        <v>1077700</v>
      </c>
      <c r="L61" s="22">
        <f t="shared" ref="L61:L62" si="54">+G61*4%</f>
        <v>40000.000000000007</v>
      </c>
      <c r="M61" s="22">
        <f t="shared" ref="M61:M62" si="55">+G61*4%</f>
        <v>40000.000000000007</v>
      </c>
      <c r="N61" s="22"/>
      <c r="O61" s="22"/>
      <c r="P61" s="22">
        <v>0</v>
      </c>
      <c r="Q61" s="22"/>
      <c r="R61" s="22"/>
      <c r="S61" s="22"/>
      <c r="T61" s="22">
        <f t="shared" si="41"/>
        <v>80000.000000000015</v>
      </c>
      <c r="U61" s="23">
        <f t="shared" si="48"/>
        <v>997700</v>
      </c>
      <c r="V61" s="23"/>
      <c r="W61" s="64"/>
      <c r="X61" s="23">
        <f t="shared" si="4"/>
        <v>997700</v>
      </c>
    </row>
    <row r="62" spans="1:24" ht="17.25" customHeight="1" x14ac:dyDescent="0.25">
      <c r="A62" s="233"/>
      <c r="B62" s="26">
        <v>14</v>
      </c>
      <c r="C62" s="19" t="s">
        <v>209</v>
      </c>
      <c r="D62" s="20" t="s">
        <v>32</v>
      </c>
      <c r="E62" s="22">
        <v>689455</v>
      </c>
      <c r="F62" s="22">
        <v>30</v>
      </c>
      <c r="G62" s="22">
        <f>E62/30*F62</f>
        <v>689455</v>
      </c>
      <c r="H62" s="22"/>
      <c r="I62" s="22"/>
      <c r="J62" s="22"/>
      <c r="K62" s="22">
        <f t="shared" ref="K62" si="56">SUM(G62:I62)+J62</f>
        <v>689455</v>
      </c>
      <c r="L62" s="22">
        <f t="shared" si="54"/>
        <v>27578.2</v>
      </c>
      <c r="M62" s="22">
        <f t="shared" si="55"/>
        <v>27578.2</v>
      </c>
      <c r="N62" s="22"/>
      <c r="O62" s="22"/>
      <c r="P62" s="22">
        <v>0</v>
      </c>
      <c r="Q62" s="22"/>
      <c r="R62" s="22"/>
      <c r="S62" s="22"/>
      <c r="T62" s="22">
        <f t="shared" ref="T62" si="57">SUM(L62:S62)</f>
        <v>55156.4</v>
      </c>
      <c r="U62" s="23">
        <f t="shared" si="48"/>
        <v>634298.6</v>
      </c>
      <c r="V62" s="23"/>
      <c r="W62" s="64"/>
      <c r="X62" s="23"/>
    </row>
    <row r="63" spans="1:24" ht="24" x14ac:dyDescent="0.25">
      <c r="A63" s="233"/>
      <c r="B63" s="26">
        <v>15</v>
      </c>
      <c r="C63" s="19" t="s">
        <v>109</v>
      </c>
      <c r="D63" s="20" t="s">
        <v>32</v>
      </c>
      <c r="E63" s="22">
        <v>1200000</v>
      </c>
      <c r="F63" s="22">
        <v>0</v>
      </c>
      <c r="G63" s="22">
        <f>E63/30*F63</f>
        <v>0</v>
      </c>
      <c r="H63" s="22">
        <v>77700</v>
      </c>
      <c r="I63" s="22"/>
      <c r="J63" s="22">
        <f>+E63-G63</f>
        <v>1200000</v>
      </c>
      <c r="K63" s="22">
        <f t="shared" si="31"/>
        <v>1277700</v>
      </c>
      <c r="L63" s="22">
        <v>48000</v>
      </c>
      <c r="M63" s="22">
        <v>48000</v>
      </c>
      <c r="N63" s="22"/>
      <c r="O63" s="22"/>
      <c r="P63" s="22">
        <v>0</v>
      </c>
      <c r="Q63" s="22"/>
      <c r="R63" s="22"/>
      <c r="S63" s="22"/>
      <c r="T63" s="22">
        <f t="shared" si="41"/>
        <v>96000</v>
      </c>
      <c r="U63" s="23">
        <f t="shared" si="48"/>
        <v>1181700</v>
      </c>
      <c r="V63" s="23"/>
      <c r="W63" s="64"/>
      <c r="X63" s="23">
        <f t="shared" si="4"/>
        <v>1181700</v>
      </c>
    </row>
    <row r="64" spans="1:24" x14ac:dyDescent="0.25">
      <c r="A64" s="233"/>
      <c r="B64" s="26">
        <v>16</v>
      </c>
      <c r="C64" s="30" t="s">
        <v>111</v>
      </c>
      <c r="D64" s="26" t="s">
        <v>32</v>
      </c>
      <c r="E64" s="22">
        <v>3500000</v>
      </c>
      <c r="F64" s="22">
        <v>30</v>
      </c>
      <c r="G64" s="22">
        <f>+E64/30*F64</f>
        <v>3500000</v>
      </c>
      <c r="H64" s="22"/>
      <c r="I64" s="22"/>
      <c r="J64" s="22"/>
      <c r="K64" s="22">
        <f t="shared" si="31"/>
        <v>3500000</v>
      </c>
      <c r="L64" s="22">
        <v>140000</v>
      </c>
      <c r="M64" s="22">
        <v>175000</v>
      </c>
      <c r="N64" s="22"/>
      <c r="O64" s="22"/>
      <c r="P64" s="22">
        <v>0</v>
      </c>
      <c r="Q64" s="22"/>
      <c r="R64" s="22"/>
      <c r="S64" s="22"/>
      <c r="T64" s="22">
        <f t="shared" si="41"/>
        <v>315000</v>
      </c>
      <c r="U64" s="23">
        <f t="shared" ref="U64:U74" si="58">K64-T64</f>
        <v>3185000</v>
      </c>
      <c r="V64" s="23"/>
      <c r="W64" s="64"/>
      <c r="X64" s="23">
        <f t="shared" si="4"/>
        <v>3185000</v>
      </c>
    </row>
    <row r="65" spans="1:27" x14ac:dyDescent="0.25">
      <c r="A65" s="233"/>
      <c r="B65" s="26">
        <v>17</v>
      </c>
      <c r="C65" s="19" t="s">
        <v>113</v>
      </c>
      <c r="D65" s="20" t="s">
        <v>32</v>
      </c>
      <c r="E65" s="22">
        <v>4000000</v>
      </c>
      <c r="F65" s="22">
        <v>30</v>
      </c>
      <c r="G65" s="22">
        <f>+E65/30*F65</f>
        <v>4000000.0000000005</v>
      </c>
      <c r="H65" s="22"/>
      <c r="I65" s="22">
        <v>300000</v>
      </c>
      <c r="J65" s="22"/>
      <c r="K65" s="22">
        <f t="shared" si="31"/>
        <v>4300000</v>
      </c>
      <c r="L65" s="22">
        <v>160000</v>
      </c>
      <c r="M65" s="22">
        <v>200000</v>
      </c>
      <c r="N65" s="22"/>
      <c r="O65" s="22"/>
      <c r="P65" s="22">
        <v>3000</v>
      </c>
      <c r="Q65" s="22"/>
      <c r="R65" s="22"/>
      <c r="S65" s="22">
        <v>766228</v>
      </c>
      <c r="T65" s="22">
        <f t="shared" si="41"/>
        <v>1129228</v>
      </c>
      <c r="U65" s="23">
        <f t="shared" si="58"/>
        <v>3170772</v>
      </c>
      <c r="V65" s="23"/>
      <c r="W65" s="64"/>
      <c r="X65" s="23">
        <f t="shared" si="4"/>
        <v>3170772</v>
      </c>
    </row>
    <row r="66" spans="1:27" x14ac:dyDescent="0.25">
      <c r="A66" s="233"/>
      <c r="B66" s="26">
        <v>18</v>
      </c>
      <c r="C66" s="19" t="s">
        <v>115</v>
      </c>
      <c r="D66" s="20" t="s">
        <v>32</v>
      </c>
      <c r="E66" s="22">
        <v>689455</v>
      </c>
      <c r="F66" s="22">
        <v>30</v>
      </c>
      <c r="G66" s="22">
        <f>+E66/30*F66</f>
        <v>689455</v>
      </c>
      <c r="H66" s="22"/>
      <c r="I66" s="22"/>
      <c r="J66" s="22"/>
      <c r="K66" s="22">
        <f t="shared" si="31"/>
        <v>689455</v>
      </c>
      <c r="L66" s="22"/>
      <c r="M66" s="22"/>
      <c r="N66" s="22"/>
      <c r="O66" s="22"/>
      <c r="P66" s="22"/>
      <c r="Q66" s="22"/>
      <c r="R66" s="22"/>
      <c r="S66" s="22"/>
      <c r="T66" s="22">
        <f t="shared" si="41"/>
        <v>0</v>
      </c>
      <c r="U66" s="23">
        <f t="shared" si="58"/>
        <v>689455</v>
      </c>
      <c r="V66" s="23"/>
      <c r="W66" s="64"/>
      <c r="X66" s="23">
        <f t="shared" si="4"/>
        <v>689455</v>
      </c>
    </row>
    <row r="67" spans="1:27" ht="17.25" customHeight="1" x14ac:dyDescent="0.25">
      <c r="A67" s="233"/>
      <c r="B67" s="26">
        <v>19</v>
      </c>
      <c r="C67" s="19" t="s">
        <v>116</v>
      </c>
      <c r="D67" s="20" t="s">
        <v>32</v>
      </c>
      <c r="E67" s="22">
        <v>3000000</v>
      </c>
      <c r="F67" s="22">
        <v>30</v>
      </c>
      <c r="G67" s="22">
        <f>E67/30*F67</f>
        <v>3000000</v>
      </c>
      <c r="H67" s="22"/>
      <c r="I67" s="22"/>
      <c r="J67" s="22">
        <f>+E67-G67</f>
        <v>0</v>
      </c>
      <c r="K67" s="22">
        <f t="shared" si="31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322019</v>
      </c>
      <c r="T67" s="22">
        <f t="shared" si="41"/>
        <v>592019</v>
      </c>
      <c r="U67" s="23">
        <f t="shared" si="58"/>
        <v>2407981</v>
      </c>
      <c r="V67" s="23"/>
      <c r="W67" s="64"/>
      <c r="X67" s="23">
        <f t="shared" si="4"/>
        <v>2407981</v>
      </c>
    </row>
    <row r="68" spans="1:27" ht="17.25" customHeight="1" x14ac:dyDescent="0.25">
      <c r="A68" s="233"/>
      <c r="B68" s="26">
        <v>20</v>
      </c>
      <c r="C68" s="19" t="s">
        <v>204</v>
      </c>
      <c r="D68" s="20" t="s">
        <v>32</v>
      </c>
      <c r="E68" s="22">
        <v>689455</v>
      </c>
      <c r="F68" s="22">
        <v>30</v>
      </c>
      <c r="G68" s="22">
        <f>E68/30*F68</f>
        <v>689455</v>
      </c>
      <c r="H68" s="22">
        <f>+(77700/30)*F68</f>
        <v>77700</v>
      </c>
      <c r="I68" s="22"/>
      <c r="J68" s="22"/>
      <c r="K68" s="22">
        <f t="shared" ref="K68:K70" si="59">SUM(G68:I68)+J68</f>
        <v>767155</v>
      </c>
      <c r="L68" s="22">
        <f t="shared" ref="L68:L73" si="60">+G68*4%</f>
        <v>27578.2</v>
      </c>
      <c r="M68" s="22">
        <f>+G68*4%</f>
        <v>27578.2</v>
      </c>
      <c r="N68" s="22"/>
      <c r="O68" s="22"/>
      <c r="P68" s="22"/>
      <c r="Q68" s="22"/>
      <c r="R68" s="22"/>
      <c r="S68" s="22"/>
      <c r="T68" s="22">
        <f t="shared" si="41"/>
        <v>55156.4</v>
      </c>
      <c r="U68" s="23">
        <f t="shared" si="58"/>
        <v>711998.6</v>
      </c>
      <c r="V68" s="23"/>
      <c r="W68" s="64"/>
      <c r="X68" s="23">
        <f t="shared" ref="X68:X107" si="61">U68+V68-W68</f>
        <v>711998.6</v>
      </c>
    </row>
    <row r="69" spans="1:27" x14ac:dyDescent="0.25">
      <c r="A69" s="233"/>
      <c r="B69" s="26">
        <v>21</v>
      </c>
      <c r="C69" s="30" t="s">
        <v>221</v>
      </c>
      <c r="D69" s="26" t="s">
        <v>32</v>
      </c>
      <c r="E69" s="22">
        <v>3250000</v>
      </c>
      <c r="F69" s="22">
        <v>30</v>
      </c>
      <c r="G69" s="22">
        <f t="shared" ref="G69" si="62">+E69/30*F69</f>
        <v>3250000</v>
      </c>
      <c r="H69" s="22"/>
      <c r="I69" s="22"/>
      <c r="J69" s="22"/>
      <c r="K69" s="22">
        <f t="shared" ref="K69" si="63">SUM(G69:I69)+J69</f>
        <v>3250000</v>
      </c>
      <c r="L69" s="22">
        <f>+G69*4%</f>
        <v>130000</v>
      </c>
      <c r="M69" s="22">
        <f>+G69*5%</f>
        <v>162500</v>
      </c>
      <c r="N69" s="22"/>
      <c r="O69" s="22"/>
      <c r="P69" s="22"/>
      <c r="Q69" s="22"/>
      <c r="R69" s="22"/>
      <c r="S69" s="22"/>
      <c r="T69" s="22">
        <f t="shared" ref="T69" si="64">SUM(L69:S69)</f>
        <v>292500</v>
      </c>
      <c r="U69" s="23">
        <f t="shared" ref="U69" si="65">+K69-T69</f>
        <v>2957500</v>
      </c>
      <c r="V69" s="23"/>
      <c r="W69" s="64"/>
      <c r="X69" s="23">
        <f t="shared" si="61"/>
        <v>2957500</v>
      </c>
    </row>
    <row r="70" spans="1:27" ht="17.25" customHeight="1" x14ac:dyDescent="0.25">
      <c r="A70" s="233"/>
      <c r="B70" s="26">
        <v>22</v>
      </c>
      <c r="C70" s="19" t="s">
        <v>213</v>
      </c>
      <c r="D70" s="20" t="s">
        <v>32</v>
      </c>
      <c r="E70" s="22">
        <v>900000</v>
      </c>
      <c r="F70" s="22">
        <v>30</v>
      </c>
      <c r="G70" s="22">
        <f>E70/30*F70</f>
        <v>900000</v>
      </c>
      <c r="H70" s="22"/>
      <c r="I70" s="22"/>
      <c r="J70" s="22"/>
      <c r="K70" s="22">
        <f t="shared" si="59"/>
        <v>900000</v>
      </c>
      <c r="L70" s="22">
        <f t="shared" ref="L70" si="66">+G70*4%</f>
        <v>36000</v>
      </c>
      <c r="M70" s="22">
        <f>+G70*4%</f>
        <v>36000</v>
      </c>
      <c r="N70" s="22"/>
      <c r="O70" s="22"/>
      <c r="P70" s="22"/>
      <c r="Q70" s="22"/>
      <c r="R70" s="22"/>
      <c r="S70" s="22"/>
      <c r="T70" s="22">
        <f t="shared" si="41"/>
        <v>72000</v>
      </c>
      <c r="U70" s="23">
        <f>K70-T70</f>
        <v>828000</v>
      </c>
      <c r="V70" s="23"/>
      <c r="W70" s="64"/>
      <c r="X70" s="23">
        <f t="shared" si="61"/>
        <v>828000</v>
      </c>
    </row>
    <row r="71" spans="1:27" ht="15.75" customHeight="1" x14ac:dyDescent="0.25">
      <c r="A71" s="233"/>
      <c r="B71" s="26">
        <v>23</v>
      </c>
      <c r="C71" s="19" t="s">
        <v>118</v>
      </c>
      <c r="D71" s="20" t="s">
        <v>32</v>
      </c>
      <c r="E71" s="22">
        <v>2000000</v>
      </c>
      <c r="F71" s="22">
        <v>30</v>
      </c>
      <c r="G71" s="22">
        <f>(E71/30*F71)</f>
        <v>2000000.0000000002</v>
      </c>
      <c r="H71" s="22"/>
      <c r="I71" s="22"/>
      <c r="J71" s="22"/>
      <c r="K71" s="22">
        <f t="shared" si="31"/>
        <v>2000000.0000000002</v>
      </c>
      <c r="L71" s="22">
        <f t="shared" si="60"/>
        <v>80000.000000000015</v>
      </c>
      <c r="M71" s="22">
        <f>+G71*4%</f>
        <v>80000.000000000015</v>
      </c>
      <c r="N71" s="22"/>
      <c r="O71" s="22"/>
      <c r="P71" s="22">
        <v>0</v>
      </c>
      <c r="Q71" s="22"/>
      <c r="R71" s="22"/>
      <c r="S71" s="22">
        <v>254624</v>
      </c>
      <c r="T71" s="22">
        <f t="shared" si="41"/>
        <v>414624</v>
      </c>
      <c r="U71" s="23">
        <f t="shared" si="58"/>
        <v>1585376.0000000002</v>
      </c>
      <c r="V71" s="23"/>
      <c r="W71" s="64"/>
      <c r="X71" s="23">
        <f t="shared" si="61"/>
        <v>1585376.0000000002</v>
      </c>
      <c r="AA71" s="65">
        <f>1196000+644000</f>
        <v>1840000</v>
      </c>
    </row>
    <row r="72" spans="1:27" ht="15.75" customHeight="1" x14ac:dyDescent="0.25">
      <c r="A72" s="233"/>
      <c r="B72" s="26">
        <v>24</v>
      </c>
      <c r="C72" s="19" t="s">
        <v>210</v>
      </c>
      <c r="D72" s="20" t="s">
        <v>32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>
        <v>90000</v>
      </c>
      <c r="K72" s="22">
        <f t="shared" ref="K72:K73" si="67">SUM(G72:I72)+J72</f>
        <v>2090000.0000000002</v>
      </c>
      <c r="L72" s="22">
        <f t="shared" si="60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/>
      <c r="T72" s="22">
        <f t="shared" ref="T72:T73" si="68">SUM(L72:S72)</f>
        <v>160000.00000000003</v>
      </c>
      <c r="U72" s="23">
        <f t="shared" si="58"/>
        <v>1930000.0000000002</v>
      </c>
      <c r="V72" s="23"/>
      <c r="W72" s="64"/>
      <c r="X72" s="23">
        <f t="shared" si="61"/>
        <v>1930000.0000000002</v>
      </c>
    </row>
    <row r="73" spans="1:27" ht="15.75" customHeight="1" x14ac:dyDescent="0.25">
      <c r="A73" s="233"/>
      <c r="B73" s="26">
        <v>25</v>
      </c>
      <c r="C73" s="19" t="s">
        <v>234</v>
      </c>
      <c r="D73" s="20" t="s">
        <v>32</v>
      </c>
      <c r="E73" s="22">
        <v>2500000</v>
      </c>
      <c r="F73" s="22">
        <v>31</v>
      </c>
      <c r="G73" s="22">
        <f>(E73/30*F73)</f>
        <v>2583333.333333333</v>
      </c>
      <c r="H73" s="22"/>
      <c r="I73" s="22"/>
      <c r="J73" s="22"/>
      <c r="K73" s="22">
        <f t="shared" si="67"/>
        <v>2583333.333333333</v>
      </c>
      <c r="L73" s="22">
        <f t="shared" si="60"/>
        <v>103333.33333333333</v>
      </c>
      <c r="M73" s="22">
        <f>+G73*4%</f>
        <v>103333.33333333333</v>
      </c>
      <c r="N73" s="22"/>
      <c r="O73" s="22"/>
      <c r="P73" s="22"/>
      <c r="Q73" s="22"/>
      <c r="R73" s="22"/>
      <c r="S73" s="22"/>
      <c r="T73" s="22">
        <f t="shared" si="68"/>
        <v>206666.66666666666</v>
      </c>
      <c r="U73" s="23">
        <f t="shared" si="58"/>
        <v>2376666.6666666665</v>
      </c>
      <c r="V73" s="23"/>
      <c r="W73" s="64"/>
      <c r="X73" s="23">
        <f t="shared" si="61"/>
        <v>2376666.6666666665</v>
      </c>
    </row>
    <row r="74" spans="1:27" x14ac:dyDescent="0.25">
      <c r="A74" s="233"/>
      <c r="B74" s="26">
        <v>26</v>
      </c>
      <c r="C74" s="30" t="s">
        <v>120</v>
      </c>
      <c r="D74" s="26" t="s">
        <v>32</v>
      </c>
      <c r="E74" s="22">
        <v>689455</v>
      </c>
      <c r="F74" s="22">
        <v>30</v>
      </c>
      <c r="G74" s="22">
        <f>(E74/30*F74)</f>
        <v>689455</v>
      </c>
      <c r="H74" s="22"/>
      <c r="I74" s="22"/>
      <c r="J74" s="22"/>
      <c r="K74" s="22">
        <f t="shared" si="31"/>
        <v>689455</v>
      </c>
      <c r="L74" s="22"/>
      <c r="M74" s="22"/>
      <c r="N74" s="22"/>
      <c r="O74" s="22">
        <v>40200</v>
      </c>
      <c r="P74" s="22"/>
      <c r="Q74" s="22"/>
      <c r="R74" s="22"/>
      <c r="S74" s="22"/>
      <c r="T74" s="22">
        <f t="shared" si="41"/>
        <v>40200</v>
      </c>
      <c r="U74" s="23">
        <f t="shared" si="58"/>
        <v>649255</v>
      </c>
      <c r="V74" s="23"/>
      <c r="W74" s="64"/>
      <c r="X74" s="23">
        <f t="shared" si="61"/>
        <v>649255</v>
      </c>
      <c r="AA74" s="65">
        <f>1840000-1196000</f>
        <v>644000</v>
      </c>
    </row>
    <row r="75" spans="1:27" x14ac:dyDescent="0.25">
      <c r="A75" s="233"/>
      <c r="B75" s="26">
        <v>27</v>
      </c>
      <c r="C75" s="30" t="s">
        <v>122</v>
      </c>
      <c r="D75" s="26" t="s">
        <v>32</v>
      </c>
      <c r="E75" s="22">
        <v>1800000</v>
      </c>
      <c r="F75" s="22">
        <v>30</v>
      </c>
      <c r="G75" s="22">
        <f>+E75/30*F75</f>
        <v>1800000</v>
      </c>
      <c r="H75" s="22"/>
      <c r="I75" s="22">
        <v>500000</v>
      </c>
      <c r="J75" s="22"/>
      <c r="K75" s="22">
        <f t="shared" si="31"/>
        <v>2300000</v>
      </c>
      <c r="L75" s="22">
        <f>+E75*4%</f>
        <v>72000</v>
      </c>
      <c r="M75" s="22">
        <f>+E75*4%</f>
        <v>72000</v>
      </c>
      <c r="N75" s="22"/>
      <c r="O75" s="22">
        <v>18500</v>
      </c>
      <c r="P75" s="22">
        <v>0</v>
      </c>
      <c r="Q75" s="22"/>
      <c r="R75" s="22"/>
      <c r="S75" s="22"/>
      <c r="T75" s="22">
        <f t="shared" si="41"/>
        <v>162500</v>
      </c>
      <c r="U75" s="23">
        <f>K75-T75</f>
        <v>2137500</v>
      </c>
      <c r="V75" s="23"/>
      <c r="W75" s="64"/>
      <c r="X75" s="23">
        <f>U75+V75-W75</f>
        <v>2137500</v>
      </c>
    </row>
    <row r="76" spans="1:27" ht="20.25" customHeight="1" x14ac:dyDescent="0.25">
      <c r="A76" s="233"/>
      <c r="B76" s="26">
        <v>28</v>
      </c>
      <c r="C76" s="19" t="s">
        <v>126</v>
      </c>
      <c r="D76" s="20" t="s">
        <v>32</v>
      </c>
      <c r="E76" s="22">
        <v>3000000</v>
      </c>
      <c r="F76" s="22">
        <v>25</v>
      </c>
      <c r="G76" s="22">
        <f t="shared" ref="G76" si="69">+E76/30*F76</f>
        <v>2500000</v>
      </c>
      <c r="H76" s="22"/>
      <c r="I76" s="22"/>
      <c r="J76" s="22">
        <f>+E76-G76</f>
        <v>500000</v>
      </c>
      <c r="K76" s="22">
        <f t="shared" si="31"/>
        <v>3000000</v>
      </c>
      <c r="L76" s="22">
        <v>120000</v>
      </c>
      <c r="M76" s="22">
        <v>150000</v>
      </c>
      <c r="N76" s="22"/>
      <c r="O76" s="22">
        <v>33700</v>
      </c>
      <c r="P76" s="22">
        <v>0</v>
      </c>
      <c r="Q76" s="22"/>
      <c r="R76" s="22"/>
      <c r="S76" s="22">
        <v>996534</v>
      </c>
      <c r="T76" s="22">
        <f t="shared" si="41"/>
        <v>1300234</v>
      </c>
      <c r="U76" s="23">
        <f t="shared" ref="U76:U86" si="70">+K76-T76</f>
        <v>1699766</v>
      </c>
      <c r="V76" s="23"/>
      <c r="W76" s="64"/>
      <c r="X76" s="23">
        <f t="shared" ref="X76" si="71">U76+V76-W76</f>
        <v>1699766</v>
      </c>
    </row>
    <row r="77" spans="1:27" ht="18" customHeight="1" x14ac:dyDescent="0.25">
      <c r="A77" s="233"/>
      <c r="B77" s="26">
        <v>29</v>
      </c>
      <c r="C77" s="19" t="s">
        <v>124</v>
      </c>
      <c r="D77" s="20" t="s">
        <v>32</v>
      </c>
      <c r="E77" s="22">
        <v>2000000</v>
      </c>
      <c r="F77" s="22">
        <v>30</v>
      </c>
      <c r="G77" s="22">
        <f>+E77/30*F77</f>
        <v>2000000.0000000002</v>
      </c>
      <c r="H77" s="22"/>
      <c r="I77" s="22"/>
      <c r="J77" s="22">
        <f>+E77-G77</f>
        <v>0</v>
      </c>
      <c r="K77" s="22">
        <f t="shared" si="31"/>
        <v>2000000.0000000002</v>
      </c>
      <c r="L77" s="22">
        <v>80000</v>
      </c>
      <c r="M77" s="22">
        <v>80000</v>
      </c>
      <c r="N77" s="22"/>
      <c r="O77" s="22"/>
      <c r="P77" s="22">
        <v>0</v>
      </c>
      <c r="Q77" s="22"/>
      <c r="R77" s="22"/>
      <c r="S77" s="22"/>
      <c r="T77" s="22">
        <f t="shared" si="41"/>
        <v>160000</v>
      </c>
      <c r="U77" s="23">
        <f t="shared" si="70"/>
        <v>1840000.0000000002</v>
      </c>
      <c r="V77" s="23"/>
      <c r="W77" s="64"/>
      <c r="X77" s="23">
        <f t="shared" si="61"/>
        <v>1840000.0000000002</v>
      </c>
    </row>
    <row r="78" spans="1:27" x14ac:dyDescent="0.25">
      <c r="A78" s="233"/>
      <c r="B78" s="26">
        <v>30</v>
      </c>
      <c r="C78" s="19" t="s">
        <v>128</v>
      </c>
      <c r="D78" s="20" t="s">
        <v>32</v>
      </c>
      <c r="E78" s="22">
        <v>3250000</v>
      </c>
      <c r="F78" s="22">
        <v>14</v>
      </c>
      <c r="G78" s="22">
        <f t="shared" ref="G78:G90" si="72">+E78/30*F78</f>
        <v>1516666.6666666665</v>
      </c>
      <c r="H78" s="22"/>
      <c r="I78" s="22"/>
      <c r="J78" s="22">
        <f>+E78-G78</f>
        <v>1733333.3333333335</v>
      </c>
      <c r="K78" s="22">
        <f t="shared" si="31"/>
        <v>3250000</v>
      </c>
      <c r="L78" s="22">
        <v>130000</v>
      </c>
      <c r="M78" s="22">
        <v>162500</v>
      </c>
      <c r="N78" s="22"/>
      <c r="O78" s="22"/>
      <c r="P78" s="22"/>
      <c r="Q78" s="22"/>
      <c r="R78" s="22"/>
      <c r="S78" s="22"/>
      <c r="T78" s="22">
        <f t="shared" si="41"/>
        <v>292500</v>
      </c>
      <c r="U78" s="23">
        <f t="shared" si="70"/>
        <v>2957500</v>
      </c>
      <c r="V78" s="23"/>
      <c r="W78" s="64"/>
      <c r="X78" s="23">
        <f t="shared" si="61"/>
        <v>2957500</v>
      </c>
      <c r="Y78" s="65" t="s">
        <v>130</v>
      </c>
    </row>
    <row r="79" spans="1:27" x14ac:dyDescent="0.25">
      <c r="A79" s="233"/>
      <c r="B79" s="26">
        <v>31</v>
      </c>
      <c r="C79" s="19" t="s">
        <v>214</v>
      </c>
      <c r="D79" s="20" t="s">
        <v>32</v>
      </c>
      <c r="E79" s="22">
        <v>689455</v>
      </c>
      <c r="F79" s="22">
        <v>30</v>
      </c>
      <c r="G79" s="22">
        <f t="shared" si="72"/>
        <v>689455</v>
      </c>
      <c r="H79" s="22">
        <v>77700</v>
      </c>
      <c r="I79" s="22"/>
      <c r="J79" s="22"/>
      <c r="K79" s="22">
        <f t="shared" ref="K79" si="73">SUM(G79:I79)+J79</f>
        <v>767155</v>
      </c>
      <c r="L79" s="22">
        <f t="shared" ref="L79" si="74">+G79*4%</f>
        <v>27578.2</v>
      </c>
      <c r="M79" s="22">
        <f>+G79*4%</f>
        <v>27578.2</v>
      </c>
      <c r="N79" s="22"/>
      <c r="O79" s="22"/>
      <c r="P79" s="22">
        <v>0</v>
      </c>
      <c r="Q79" s="22"/>
      <c r="R79" s="22"/>
      <c r="S79" s="22"/>
      <c r="T79" s="22">
        <f t="shared" ref="T79" si="75">SUM(L79:S79)</f>
        <v>55156.4</v>
      </c>
      <c r="U79" s="23">
        <f t="shared" si="70"/>
        <v>711998.6</v>
      </c>
      <c r="V79" s="23"/>
      <c r="W79" s="64"/>
      <c r="X79" s="23">
        <f t="shared" si="61"/>
        <v>711998.6</v>
      </c>
      <c r="Y79" s="65" t="s">
        <v>130</v>
      </c>
    </row>
    <row r="80" spans="1:27" x14ac:dyDescent="0.25">
      <c r="A80" s="233"/>
      <c r="B80" s="26">
        <v>32</v>
      </c>
      <c r="C80" s="19" t="s">
        <v>131</v>
      </c>
      <c r="D80" s="20" t="s">
        <v>32</v>
      </c>
      <c r="E80" s="22">
        <v>3000000</v>
      </c>
      <c r="F80" s="22">
        <v>27</v>
      </c>
      <c r="G80" s="22">
        <f t="shared" si="72"/>
        <v>2700000</v>
      </c>
      <c r="H80" s="22">
        <v>200010</v>
      </c>
      <c r="I80" s="22"/>
      <c r="J80" s="22"/>
      <c r="K80" s="22">
        <f t="shared" si="31"/>
        <v>2900010</v>
      </c>
      <c r="L80" s="22">
        <f>+E80*4%</f>
        <v>120000</v>
      </c>
      <c r="M80" s="22">
        <f>+E80*5%</f>
        <v>150000</v>
      </c>
      <c r="N80" s="22"/>
      <c r="O80" s="22"/>
      <c r="P80" s="25">
        <v>0</v>
      </c>
      <c r="Q80" s="22"/>
      <c r="R80" s="22"/>
      <c r="S80" s="22">
        <v>586000</v>
      </c>
      <c r="T80" s="22">
        <f t="shared" si="41"/>
        <v>856000</v>
      </c>
      <c r="U80" s="23">
        <f t="shared" si="70"/>
        <v>2044010</v>
      </c>
      <c r="V80" s="23"/>
      <c r="W80" s="64"/>
      <c r="X80" s="23">
        <f t="shared" si="61"/>
        <v>2044010</v>
      </c>
    </row>
    <row r="81" spans="1:24" x14ac:dyDescent="0.25">
      <c r="A81" s="233"/>
      <c r="B81" s="26">
        <v>33</v>
      </c>
      <c r="C81" s="19" t="s">
        <v>222</v>
      </c>
      <c r="D81" s="20"/>
      <c r="E81" s="22">
        <v>4500000</v>
      </c>
      <c r="F81" s="22">
        <v>30</v>
      </c>
      <c r="G81" s="22">
        <f t="shared" si="72"/>
        <v>4500000</v>
      </c>
      <c r="H81" s="22"/>
      <c r="I81" s="22"/>
      <c r="J81" s="22"/>
      <c r="K81" s="22">
        <f t="shared" ref="K81" si="76">SUM(G81:I81)+J81</f>
        <v>4500000</v>
      </c>
      <c r="L81" s="22">
        <f>+G81*4%</f>
        <v>180000</v>
      </c>
      <c r="M81" s="22">
        <f>+G81*5%</f>
        <v>225000</v>
      </c>
      <c r="N81" s="22"/>
      <c r="O81" s="22"/>
      <c r="P81" s="25">
        <v>72000</v>
      </c>
      <c r="Q81" s="22"/>
      <c r="R81" s="22"/>
      <c r="S81" s="22"/>
      <c r="T81" s="22">
        <f t="shared" si="41"/>
        <v>477000</v>
      </c>
      <c r="U81" s="23">
        <f t="shared" si="70"/>
        <v>4023000</v>
      </c>
      <c r="V81" s="23"/>
      <c r="W81" s="64"/>
      <c r="X81" s="23">
        <f t="shared" si="61"/>
        <v>4023000</v>
      </c>
    </row>
    <row r="82" spans="1:24" x14ac:dyDescent="0.25">
      <c r="A82" s="233"/>
      <c r="B82" s="26">
        <v>34</v>
      </c>
      <c r="C82" s="19" t="s">
        <v>206</v>
      </c>
      <c r="D82" s="20" t="s">
        <v>32</v>
      </c>
      <c r="E82" s="22">
        <v>900000</v>
      </c>
      <c r="F82" s="22">
        <v>30</v>
      </c>
      <c r="G82" s="22">
        <f t="shared" si="72"/>
        <v>900000</v>
      </c>
      <c r="H82" s="22"/>
      <c r="I82" s="22"/>
      <c r="J82" s="22"/>
      <c r="K82" s="22">
        <f t="shared" ref="K82" si="77">SUM(G82:I82)+J82</f>
        <v>900000</v>
      </c>
      <c r="L82" s="22">
        <f>+G82*4%</f>
        <v>36000</v>
      </c>
      <c r="M82" s="22">
        <f>+G82*4%</f>
        <v>36000</v>
      </c>
      <c r="N82" s="22"/>
      <c r="O82" s="22">
        <v>19500</v>
      </c>
      <c r="P82" s="25">
        <v>0</v>
      </c>
      <c r="Q82" s="22"/>
      <c r="R82" s="22"/>
      <c r="S82" s="22"/>
      <c r="T82" s="22">
        <f t="shared" ref="T82" si="78">SUM(L82:S82)</f>
        <v>91500</v>
      </c>
      <c r="U82" s="23">
        <f t="shared" si="70"/>
        <v>808500</v>
      </c>
      <c r="V82" s="23"/>
      <c r="W82" s="64"/>
      <c r="X82" s="23">
        <f t="shared" si="61"/>
        <v>808500</v>
      </c>
    </row>
    <row r="83" spans="1:24" x14ac:dyDescent="0.25">
      <c r="A83" s="233"/>
      <c r="B83" s="26">
        <v>35</v>
      </c>
      <c r="C83" s="19" t="s">
        <v>133</v>
      </c>
      <c r="D83" s="20" t="s">
        <v>32</v>
      </c>
      <c r="E83" s="22">
        <v>1800000</v>
      </c>
      <c r="F83" s="22">
        <v>30</v>
      </c>
      <c r="G83" s="22">
        <f t="shared" si="72"/>
        <v>1800000</v>
      </c>
      <c r="H83" s="22"/>
      <c r="I83" s="22"/>
      <c r="J83" s="22"/>
      <c r="K83" s="22">
        <f t="shared" si="31"/>
        <v>1800000</v>
      </c>
      <c r="L83" s="22">
        <v>72000</v>
      </c>
      <c r="M83" s="22">
        <v>72000</v>
      </c>
      <c r="N83" s="22"/>
      <c r="O83" s="22">
        <v>27800</v>
      </c>
      <c r="P83" s="25">
        <v>0</v>
      </c>
      <c r="Q83" s="22"/>
      <c r="R83" s="22">
        <v>408000</v>
      </c>
      <c r="S83" s="22">
        <v>12500</v>
      </c>
      <c r="T83" s="22">
        <f t="shared" si="41"/>
        <v>592300</v>
      </c>
      <c r="U83" s="23">
        <f t="shared" si="70"/>
        <v>1207700</v>
      </c>
      <c r="V83" s="23"/>
      <c r="W83" s="64"/>
      <c r="X83" s="23">
        <f t="shared" si="61"/>
        <v>1207700</v>
      </c>
    </row>
    <row r="84" spans="1:24" ht="24" x14ac:dyDescent="0.25">
      <c r="A84" s="233"/>
      <c r="B84" s="26">
        <v>36</v>
      </c>
      <c r="C84" s="19" t="s">
        <v>215</v>
      </c>
      <c r="D84" s="20" t="s">
        <v>32</v>
      </c>
      <c r="E84" s="22">
        <v>689455</v>
      </c>
      <c r="F84" s="22">
        <v>30</v>
      </c>
      <c r="G84" s="22">
        <f t="shared" si="72"/>
        <v>689455</v>
      </c>
      <c r="H84" s="22">
        <v>77700</v>
      </c>
      <c r="I84" s="22"/>
      <c r="J84" s="22"/>
      <c r="K84" s="22">
        <f t="shared" ref="K84" si="79">SUM(G84:I84)+J84</f>
        <v>767155</v>
      </c>
      <c r="L84" s="22">
        <f>+G84*4%</f>
        <v>27578.2</v>
      </c>
      <c r="M84" s="22">
        <f>+G84*4%</f>
        <v>27578.2</v>
      </c>
      <c r="N84" s="22"/>
      <c r="O84" s="22"/>
      <c r="P84" s="25">
        <v>0</v>
      </c>
      <c r="Q84" s="22"/>
      <c r="R84" s="22"/>
      <c r="S84" s="22"/>
      <c r="T84" s="22">
        <f t="shared" ref="T84" si="80">SUM(L84:S84)</f>
        <v>55156.4</v>
      </c>
      <c r="U84" s="23">
        <f t="shared" si="70"/>
        <v>711998.6</v>
      </c>
      <c r="V84" s="23"/>
      <c r="W84" s="64"/>
      <c r="X84" s="23">
        <f t="shared" si="61"/>
        <v>711998.6</v>
      </c>
    </row>
    <row r="85" spans="1:24" x14ac:dyDescent="0.25">
      <c r="A85" s="233"/>
      <c r="B85" s="26">
        <v>37</v>
      </c>
      <c r="C85" s="19" t="s">
        <v>135</v>
      </c>
      <c r="D85" s="20" t="s">
        <v>32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7" si="81">SUM(G85:I85)+J85</f>
        <v>1800000</v>
      </c>
      <c r="L85" s="22">
        <v>72000</v>
      </c>
      <c r="M85" s="22">
        <v>72000</v>
      </c>
      <c r="N85" s="22"/>
      <c r="O85" s="22">
        <v>40000</v>
      </c>
      <c r="P85" s="22">
        <v>0</v>
      </c>
      <c r="Q85" s="22"/>
      <c r="R85" s="22"/>
      <c r="S85" s="22">
        <v>257196</v>
      </c>
      <c r="T85" s="22">
        <f t="shared" si="41"/>
        <v>441196</v>
      </c>
      <c r="U85" s="23">
        <f t="shared" si="70"/>
        <v>1358804</v>
      </c>
      <c r="V85" s="23"/>
      <c r="W85" s="64"/>
      <c r="X85" s="23">
        <f t="shared" si="61"/>
        <v>1358804</v>
      </c>
    </row>
    <row r="86" spans="1:24" x14ac:dyDescent="0.25">
      <c r="A86" s="233"/>
      <c r="B86" s="26">
        <v>38</v>
      </c>
      <c r="C86" s="19" t="s">
        <v>189</v>
      </c>
      <c r="D86" s="20" t="s">
        <v>32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1"/>
        <v>4500000</v>
      </c>
      <c r="L86" s="22">
        <f t="shared" ref="L86" si="82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3">SUM(L86:S86)</f>
        <v>477000</v>
      </c>
      <c r="U86" s="23">
        <f t="shared" si="70"/>
        <v>4023000</v>
      </c>
      <c r="V86" s="23"/>
      <c r="W86" s="64"/>
      <c r="X86" s="23">
        <f t="shared" si="61"/>
        <v>4023000</v>
      </c>
    </row>
    <row r="87" spans="1:24" x14ac:dyDescent="0.25">
      <c r="A87" s="233"/>
      <c r="B87" s="26">
        <v>39</v>
      </c>
      <c r="C87" s="19" t="s">
        <v>138</v>
      </c>
      <c r="D87" s="20" t="s">
        <v>32</v>
      </c>
      <c r="E87" s="22">
        <v>4500000</v>
      </c>
      <c r="F87" s="22">
        <v>28</v>
      </c>
      <c r="G87" s="22">
        <f>+E87/30*F87</f>
        <v>4200000</v>
      </c>
      <c r="H87" s="22">
        <v>200010</v>
      </c>
      <c r="I87" s="22"/>
      <c r="J87" s="22"/>
      <c r="K87" s="22">
        <f t="shared" si="81"/>
        <v>4400010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>K87-T87</f>
        <v>3921937</v>
      </c>
      <c r="V87" s="23"/>
      <c r="W87" s="64"/>
      <c r="X87" s="23">
        <f t="shared" si="61"/>
        <v>3921937</v>
      </c>
    </row>
    <row r="88" spans="1:24" x14ac:dyDescent="0.25">
      <c r="A88" s="233"/>
      <c r="B88" s="26">
        <v>40</v>
      </c>
      <c r="C88" s="19" t="s">
        <v>142</v>
      </c>
      <c r="D88" s="20" t="s">
        <v>32</v>
      </c>
      <c r="E88" s="22">
        <v>2500000</v>
      </c>
      <c r="F88" s="22">
        <v>30</v>
      </c>
      <c r="G88" s="22">
        <f t="shared" ref="G88" si="84">+E88/30*F88</f>
        <v>2500000</v>
      </c>
      <c r="H88" s="22"/>
      <c r="I88" s="22">
        <v>500000</v>
      </c>
      <c r="J88" s="22">
        <f>+E88-G88</f>
        <v>0</v>
      </c>
      <c r="K88" s="22">
        <f t="shared" si="81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1"/>
        <v>200000</v>
      </c>
      <c r="U88" s="23">
        <f>K88-T88</f>
        <v>2800000</v>
      </c>
      <c r="V88" s="23"/>
      <c r="W88" s="64"/>
      <c r="X88" s="23">
        <f t="shared" si="61"/>
        <v>2800000</v>
      </c>
    </row>
    <row r="89" spans="1:24" ht="24" x14ac:dyDescent="0.25">
      <c r="A89" s="233"/>
      <c r="B89" s="26">
        <v>41</v>
      </c>
      <c r="C89" s="19" t="s">
        <v>140</v>
      </c>
      <c r="D89" s="20" t="s">
        <v>32</v>
      </c>
      <c r="E89" s="22">
        <v>2548000</v>
      </c>
      <c r="F89" s="22">
        <v>30</v>
      </c>
      <c r="G89" s="22">
        <f t="shared" si="72"/>
        <v>2548000</v>
      </c>
      <c r="H89" s="22"/>
      <c r="I89" s="22"/>
      <c r="J89" s="22">
        <f>+E89-G89</f>
        <v>0</v>
      </c>
      <c r="K89" s="22">
        <f t="shared" si="81"/>
        <v>2548000</v>
      </c>
      <c r="L89" s="22">
        <v>101920</v>
      </c>
      <c r="M89" s="22">
        <v>101920</v>
      </c>
      <c r="N89" s="22"/>
      <c r="O89" s="22">
        <v>68600</v>
      </c>
      <c r="P89" s="22">
        <v>0</v>
      </c>
      <c r="Q89" s="22"/>
      <c r="R89" s="22"/>
      <c r="S89" s="22">
        <v>359047</v>
      </c>
      <c r="T89" s="22">
        <f t="shared" si="41"/>
        <v>631487</v>
      </c>
      <c r="U89" s="23">
        <f>K89-T89</f>
        <v>1916513</v>
      </c>
      <c r="V89" s="23"/>
      <c r="W89" s="64"/>
      <c r="X89" s="23">
        <f t="shared" si="61"/>
        <v>1916513</v>
      </c>
    </row>
    <row r="90" spans="1:24" x14ac:dyDescent="0.25">
      <c r="A90" s="233"/>
      <c r="B90" s="26">
        <v>42</v>
      </c>
      <c r="C90" s="19" t="s">
        <v>216</v>
      </c>
      <c r="D90" s="20" t="s">
        <v>32</v>
      </c>
      <c r="E90" s="22">
        <v>689455</v>
      </c>
      <c r="F90" s="22">
        <v>30</v>
      </c>
      <c r="G90" s="22">
        <f t="shared" si="72"/>
        <v>689455</v>
      </c>
      <c r="H90" s="22">
        <v>77700</v>
      </c>
      <c r="I90" s="22"/>
      <c r="J90" s="22"/>
      <c r="K90" s="22">
        <f t="shared" ref="K90" si="85">SUM(G90:I90)+J90</f>
        <v>767155</v>
      </c>
      <c r="L90" s="22">
        <f>+G90*4%</f>
        <v>27578.2</v>
      </c>
      <c r="M90" s="22">
        <f>+G90*4%</f>
        <v>27578.2</v>
      </c>
      <c r="N90" s="22"/>
      <c r="O90" s="22"/>
      <c r="P90" s="22"/>
      <c r="Q90" s="22"/>
      <c r="R90" s="22"/>
      <c r="S90" s="22"/>
      <c r="T90" s="22">
        <f t="shared" si="41"/>
        <v>55156.4</v>
      </c>
      <c r="U90" s="23">
        <f>K90-T90</f>
        <v>711998.6</v>
      </c>
      <c r="V90" s="23"/>
      <c r="W90" s="64"/>
      <c r="X90" s="23">
        <f t="shared" si="61"/>
        <v>711998.6</v>
      </c>
    </row>
    <row r="91" spans="1:24" x14ac:dyDescent="0.25">
      <c r="A91" s="233"/>
      <c r="B91" s="26">
        <v>43</v>
      </c>
      <c r="C91" s="30" t="s">
        <v>144</v>
      </c>
      <c r="D91" s="26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33450</v>
      </c>
      <c r="K91" s="22">
        <f t="shared" si="81"/>
        <v>800605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1"/>
        <v>55156.4</v>
      </c>
      <c r="U91" s="23">
        <f>K91-T91</f>
        <v>745448.6</v>
      </c>
      <c r="V91" s="23"/>
      <c r="W91" s="64"/>
      <c r="X91" s="23">
        <f t="shared" si="61"/>
        <v>745448.6</v>
      </c>
    </row>
    <row r="92" spans="1:24" x14ac:dyDescent="0.25">
      <c r="A92" s="233"/>
      <c r="B92" s="26">
        <v>44</v>
      </c>
      <c r="C92" s="19" t="s">
        <v>146</v>
      </c>
      <c r="D92" s="20" t="s">
        <v>32</v>
      </c>
      <c r="E92" s="22">
        <v>15400000</v>
      </c>
      <c r="F92" s="22">
        <v>30</v>
      </c>
      <c r="G92" s="22">
        <f t="shared" ref="G92:G100" si="86">+E92/30*F92</f>
        <v>15400000</v>
      </c>
      <c r="H92" s="22"/>
      <c r="I92" s="22">
        <v>600000</v>
      </c>
      <c r="J92" s="22"/>
      <c r="K92" s="22">
        <f t="shared" si="81"/>
        <v>16000000</v>
      </c>
      <c r="L92" s="22">
        <f t="shared" ref="L92:L106" si="87">+G92*4%</f>
        <v>616000</v>
      </c>
      <c r="M92" s="22">
        <f>+G92*6%</f>
        <v>924000</v>
      </c>
      <c r="N92" s="22">
        <v>102400</v>
      </c>
      <c r="O92" s="22"/>
      <c r="P92" s="22">
        <v>916000</v>
      </c>
      <c r="Q92" s="22">
        <v>5000000</v>
      </c>
      <c r="R92" s="22">
        <v>180180</v>
      </c>
      <c r="S92" s="22">
        <v>2314715</v>
      </c>
      <c r="T92" s="22">
        <f t="shared" si="41"/>
        <v>10053295</v>
      </c>
      <c r="U92" s="23">
        <f>+K92-T92</f>
        <v>5946705</v>
      </c>
      <c r="V92" s="23"/>
      <c r="W92" s="64"/>
      <c r="X92" s="23">
        <f t="shared" si="61"/>
        <v>5946705</v>
      </c>
    </row>
    <row r="93" spans="1:24" x14ac:dyDescent="0.25">
      <c r="A93" s="233"/>
      <c r="B93" s="26">
        <v>45</v>
      </c>
      <c r="C93" s="19" t="s">
        <v>148</v>
      </c>
      <c r="D93" s="20" t="s">
        <v>32</v>
      </c>
      <c r="E93" s="22">
        <v>4500000</v>
      </c>
      <c r="F93" s="22">
        <v>30</v>
      </c>
      <c r="G93" s="22">
        <f t="shared" si="86"/>
        <v>4500000</v>
      </c>
      <c r="H93" s="22"/>
      <c r="I93" s="22"/>
      <c r="J93" s="22"/>
      <c r="K93" s="22">
        <f t="shared" si="81"/>
        <v>4500000</v>
      </c>
      <c r="L93" s="22">
        <f t="shared" si="87"/>
        <v>180000</v>
      </c>
      <c r="M93" s="22">
        <f>+G93*5%</f>
        <v>225000</v>
      </c>
      <c r="N93" s="22"/>
      <c r="O93" s="22"/>
      <c r="P93" s="22">
        <v>90000</v>
      </c>
      <c r="Q93" s="22"/>
      <c r="R93" s="22"/>
      <c r="S93" s="22"/>
      <c r="T93" s="22">
        <f t="shared" si="41"/>
        <v>495000</v>
      </c>
      <c r="U93" s="23">
        <f>+K93-T93</f>
        <v>4005000</v>
      </c>
      <c r="V93" s="23"/>
      <c r="W93" s="64"/>
      <c r="X93" s="23">
        <f t="shared" si="61"/>
        <v>4005000</v>
      </c>
    </row>
    <row r="94" spans="1:24" x14ac:dyDescent="0.25">
      <c r="A94" s="233"/>
      <c r="B94" s="26">
        <v>46</v>
      </c>
      <c r="C94" s="19" t="s">
        <v>150</v>
      </c>
      <c r="D94" s="20" t="s">
        <v>32</v>
      </c>
      <c r="E94" s="22">
        <v>1650000</v>
      </c>
      <c r="F94" s="22">
        <v>30</v>
      </c>
      <c r="G94" s="22">
        <f t="shared" si="86"/>
        <v>1650000</v>
      </c>
      <c r="H94" s="22"/>
      <c r="I94" s="22"/>
      <c r="J94" s="22">
        <f>+E94-G94</f>
        <v>0</v>
      </c>
      <c r="K94" s="22">
        <f t="shared" si="81"/>
        <v>1650000</v>
      </c>
      <c r="L94" s="22">
        <v>66000</v>
      </c>
      <c r="M94" s="22">
        <v>66000</v>
      </c>
      <c r="N94" s="22"/>
      <c r="O94" s="22"/>
      <c r="P94" s="22">
        <v>0</v>
      </c>
      <c r="Q94" s="22"/>
      <c r="R94" s="22"/>
      <c r="S94" s="22"/>
      <c r="T94" s="22">
        <f t="shared" si="41"/>
        <v>132000</v>
      </c>
      <c r="U94" s="23">
        <f>+K94-T94</f>
        <v>1518000</v>
      </c>
      <c r="V94" s="23"/>
      <c r="W94" s="64"/>
      <c r="X94" s="23">
        <f t="shared" si="61"/>
        <v>1518000</v>
      </c>
    </row>
    <row r="95" spans="1:24" x14ac:dyDescent="0.25">
      <c r="A95" s="233"/>
      <c r="B95" s="26">
        <v>47</v>
      </c>
      <c r="C95" s="30" t="s">
        <v>152</v>
      </c>
      <c r="D95" s="26" t="s">
        <v>32</v>
      </c>
      <c r="E95" s="22">
        <v>2000000</v>
      </c>
      <c r="F95" s="22">
        <v>30</v>
      </c>
      <c r="G95" s="22">
        <f t="shared" si="86"/>
        <v>2000000.0000000002</v>
      </c>
      <c r="H95" s="22"/>
      <c r="I95" s="22">
        <v>160000</v>
      </c>
      <c r="J95" s="22"/>
      <c r="K95" s="22">
        <f t="shared" si="81"/>
        <v>2160000</v>
      </c>
      <c r="L95" s="22">
        <f>+E95*4%</f>
        <v>80000</v>
      </c>
      <c r="M95" s="22">
        <v>80000</v>
      </c>
      <c r="N95" s="22"/>
      <c r="O95" s="22"/>
      <c r="P95" s="22">
        <v>0</v>
      </c>
      <c r="Q95" s="22"/>
      <c r="R95" s="22"/>
      <c r="S95" s="22"/>
      <c r="T95" s="22">
        <f t="shared" si="41"/>
        <v>160000</v>
      </c>
      <c r="U95" s="23">
        <f>K95-T95</f>
        <v>2000000</v>
      </c>
      <c r="V95" s="23"/>
      <c r="W95" s="64"/>
      <c r="X95" s="23">
        <f t="shared" si="61"/>
        <v>2000000</v>
      </c>
    </row>
    <row r="96" spans="1:24" x14ac:dyDescent="0.25">
      <c r="A96" s="233"/>
      <c r="B96" s="26">
        <v>48</v>
      </c>
      <c r="C96" s="30" t="s">
        <v>184</v>
      </c>
      <c r="D96" s="26" t="s">
        <v>32</v>
      </c>
      <c r="E96" s="22">
        <v>900000</v>
      </c>
      <c r="F96" s="22">
        <v>30</v>
      </c>
      <c r="G96" s="22">
        <f t="shared" si="86"/>
        <v>900000</v>
      </c>
      <c r="H96" s="22">
        <f>+(77700/30)*F96</f>
        <v>77700</v>
      </c>
      <c r="I96" s="22"/>
      <c r="J96" s="22"/>
      <c r="K96" s="22">
        <f t="shared" si="81"/>
        <v>977700</v>
      </c>
      <c r="L96" s="22">
        <f t="shared" si="87"/>
        <v>36000</v>
      </c>
      <c r="M96" s="22">
        <f>+G96*4%</f>
        <v>36000</v>
      </c>
      <c r="N96" s="22"/>
      <c r="O96" s="22"/>
      <c r="P96" s="22"/>
      <c r="Q96" s="22"/>
      <c r="R96" s="22"/>
      <c r="S96" s="22"/>
      <c r="T96" s="22">
        <f>SUM(L96:S96)</f>
        <v>72000</v>
      </c>
      <c r="U96" s="23">
        <f>K96-T96</f>
        <v>905700</v>
      </c>
      <c r="V96" s="23"/>
      <c r="W96" s="64"/>
      <c r="X96" s="23">
        <f t="shared" si="61"/>
        <v>905700</v>
      </c>
    </row>
    <row r="97" spans="1:24" x14ac:dyDescent="0.25">
      <c r="A97" s="233"/>
      <c r="B97" s="26">
        <v>49</v>
      </c>
      <c r="C97" s="30" t="s">
        <v>197</v>
      </c>
      <c r="D97" s="26" t="s">
        <v>32</v>
      </c>
      <c r="E97" s="22">
        <v>1200000</v>
      </c>
      <c r="F97" s="22">
        <v>30</v>
      </c>
      <c r="G97" s="22">
        <f t="shared" si="86"/>
        <v>1200000</v>
      </c>
      <c r="H97" s="22">
        <f>+(77700/30)*F97</f>
        <v>77700</v>
      </c>
      <c r="I97" s="22"/>
      <c r="J97" s="22"/>
      <c r="K97" s="22">
        <f t="shared" ref="K97" si="88">SUM(G97:I97)+J97</f>
        <v>1277700</v>
      </c>
      <c r="L97" s="22">
        <f t="shared" si="87"/>
        <v>48000</v>
      </c>
      <c r="M97" s="22">
        <f>+G97*4%</f>
        <v>48000</v>
      </c>
      <c r="N97" s="22"/>
      <c r="O97" s="22"/>
      <c r="P97" s="22"/>
      <c r="Q97" s="22"/>
      <c r="R97" s="22"/>
      <c r="S97" s="22"/>
      <c r="T97" s="22">
        <f t="shared" ref="T97" si="89">SUM(L97:S97)</f>
        <v>96000</v>
      </c>
      <c r="U97" s="23">
        <f>K97-T97</f>
        <v>1181700</v>
      </c>
      <c r="V97" s="23"/>
      <c r="W97" s="64"/>
      <c r="X97" s="23">
        <f t="shared" si="61"/>
        <v>1181700</v>
      </c>
    </row>
    <row r="98" spans="1:24" ht="24" x14ac:dyDescent="0.25">
      <c r="A98" s="233"/>
      <c r="B98" s="26">
        <v>50</v>
      </c>
      <c r="C98" s="19" t="s">
        <v>175</v>
      </c>
      <c r="D98" s="20" t="s">
        <v>32</v>
      </c>
      <c r="E98" s="22">
        <v>2500000</v>
      </c>
      <c r="F98" s="22">
        <v>30</v>
      </c>
      <c r="G98" s="22">
        <f t="shared" si="86"/>
        <v>2500000</v>
      </c>
      <c r="H98" s="22"/>
      <c r="I98" s="22"/>
      <c r="J98" s="22"/>
      <c r="K98" s="22">
        <f t="shared" si="81"/>
        <v>2500000</v>
      </c>
      <c r="L98" s="22">
        <f t="shared" si="87"/>
        <v>100000</v>
      </c>
      <c r="M98" s="22">
        <f t="shared" ref="M98:M105" si="90">+G98*4%</f>
        <v>100000</v>
      </c>
      <c r="N98" s="22"/>
      <c r="O98" s="22"/>
      <c r="P98" s="22"/>
      <c r="Q98" s="22"/>
      <c r="R98" s="22"/>
      <c r="S98" s="22"/>
      <c r="T98" s="22">
        <f t="shared" si="41"/>
        <v>200000</v>
      </c>
      <c r="U98" s="23">
        <f>+K98-T98</f>
        <v>2300000</v>
      </c>
      <c r="V98" s="23"/>
      <c r="W98" s="64"/>
      <c r="X98" s="23">
        <f t="shared" si="61"/>
        <v>2300000</v>
      </c>
    </row>
    <row r="99" spans="1:24" x14ac:dyDescent="0.25">
      <c r="A99" s="233"/>
      <c r="B99" s="26">
        <v>51</v>
      </c>
      <c r="C99" s="19" t="s">
        <v>88</v>
      </c>
      <c r="D99" s="20" t="s">
        <v>32</v>
      </c>
      <c r="E99" s="22">
        <v>3700000</v>
      </c>
      <c r="F99" s="22">
        <v>30</v>
      </c>
      <c r="G99" s="22">
        <f t="shared" si="86"/>
        <v>3700000</v>
      </c>
      <c r="H99" s="22"/>
      <c r="I99" s="22">
        <v>650000</v>
      </c>
      <c r="J99" s="22"/>
      <c r="K99" s="22">
        <f t="shared" ref="K99" si="91">SUM(G99:I99)+J99</f>
        <v>4350000</v>
      </c>
      <c r="L99" s="22">
        <f t="shared" si="87"/>
        <v>148000</v>
      </c>
      <c r="M99" s="22">
        <f>+G99*5%</f>
        <v>185000</v>
      </c>
      <c r="N99" s="22"/>
      <c r="O99" s="22"/>
      <c r="P99" s="22">
        <v>35000</v>
      </c>
      <c r="Q99" s="22"/>
      <c r="R99" s="22"/>
      <c r="S99" s="22"/>
      <c r="T99" s="22">
        <f t="shared" ref="T99" si="92">SUM(L99:S99)</f>
        <v>368000</v>
      </c>
      <c r="U99" s="23">
        <f>+K99-T99</f>
        <v>3982000</v>
      </c>
      <c r="V99" s="23"/>
      <c r="W99" s="64"/>
      <c r="X99" s="23">
        <f t="shared" si="61"/>
        <v>3982000</v>
      </c>
    </row>
    <row r="100" spans="1:24" x14ac:dyDescent="0.25">
      <c r="A100" s="233"/>
      <c r="B100" s="26">
        <v>52</v>
      </c>
      <c r="C100" s="19" t="s">
        <v>154</v>
      </c>
      <c r="D100" s="20" t="s">
        <v>105</v>
      </c>
      <c r="E100" s="22">
        <v>1400000</v>
      </c>
      <c r="F100" s="22">
        <v>30</v>
      </c>
      <c r="G100" s="22">
        <f t="shared" si="86"/>
        <v>1400000</v>
      </c>
      <c r="H100" s="22"/>
      <c r="I100" s="22"/>
      <c r="J100" s="22"/>
      <c r="K100" s="22">
        <f t="shared" si="81"/>
        <v>1400000</v>
      </c>
      <c r="L100" s="22">
        <v>56000</v>
      </c>
      <c r="M100" s="22">
        <v>56000</v>
      </c>
      <c r="N100" s="22"/>
      <c r="O100" s="22"/>
      <c r="P100" s="25"/>
      <c r="Q100" s="22"/>
      <c r="R100" s="22"/>
      <c r="S100" s="22"/>
      <c r="T100" s="22">
        <f t="shared" si="41"/>
        <v>112000</v>
      </c>
      <c r="U100" s="23">
        <f>+K100-T100</f>
        <v>1288000</v>
      </c>
      <c r="V100" s="23"/>
      <c r="W100" s="64"/>
      <c r="X100" s="23">
        <f t="shared" si="61"/>
        <v>1288000</v>
      </c>
    </row>
    <row r="101" spans="1:24" x14ac:dyDescent="0.25">
      <c r="A101" s="233"/>
      <c r="B101" s="26">
        <v>53</v>
      </c>
      <c r="C101" s="30" t="s">
        <v>159</v>
      </c>
      <c r="D101" s="26" t="s">
        <v>32</v>
      </c>
      <c r="E101" s="22">
        <v>1300000</v>
      </c>
      <c r="F101" s="22">
        <v>30</v>
      </c>
      <c r="G101" s="22">
        <f>+E101/30*F101</f>
        <v>1300000</v>
      </c>
      <c r="H101" s="22">
        <v>77700</v>
      </c>
      <c r="I101" s="22"/>
      <c r="J101" s="22"/>
      <c r="K101" s="22">
        <f t="shared" si="81"/>
        <v>1377700</v>
      </c>
      <c r="L101" s="22">
        <f t="shared" si="87"/>
        <v>52000</v>
      </c>
      <c r="M101" s="22">
        <f t="shared" si="90"/>
        <v>52000</v>
      </c>
      <c r="N101" s="22"/>
      <c r="O101" s="22"/>
      <c r="P101" s="22">
        <v>0</v>
      </c>
      <c r="Q101" s="22"/>
      <c r="R101" s="22"/>
      <c r="S101" s="22">
        <v>249127</v>
      </c>
      <c r="T101" s="22">
        <f t="shared" si="41"/>
        <v>353127</v>
      </c>
      <c r="U101" s="23">
        <f>K101-T101</f>
        <v>1024573</v>
      </c>
      <c r="V101" s="23"/>
      <c r="W101" s="64"/>
      <c r="X101" s="23">
        <f t="shared" si="61"/>
        <v>1024573</v>
      </c>
    </row>
    <row r="102" spans="1:24" ht="12.75" thickBot="1" x14ac:dyDescent="0.3">
      <c r="A102" s="233"/>
      <c r="B102" s="26">
        <v>54</v>
      </c>
      <c r="C102" s="19" t="s">
        <v>161</v>
      </c>
      <c r="D102" s="20" t="s">
        <v>32</v>
      </c>
      <c r="E102" s="22">
        <v>689455</v>
      </c>
      <c r="F102" s="22">
        <v>30</v>
      </c>
      <c r="G102" s="22">
        <f>+E102/30*F102</f>
        <v>689455</v>
      </c>
      <c r="H102" s="22">
        <v>77700</v>
      </c>
      <c r="I102" s="22"/>
      <c r="J102" s="68"/>
      <c r="K102" s="22">
        <f t="shared" si="81"/>
        <v>767155</v>
      </c>
      <c r="L102" s="22">
        <f t="shared" si="87"/>
        <v>27578.2</v>
      </c>
      <c r="M102" s="22">
        <f t="shared" si="90"/>
        <v>27578.2</v>
      </c>
      <c r="N102" s="22"/>
      <c r="O102" s="22"/>
      <c r="P102" s="22">
        <v>0</v>
      </c>
      <c r="Q102" s="22"/>
      <c r="R102" s="22"/>
      <c r="S102" s="22"/>
      <c r="T102" s="22">
        <f t="shared" si="41"/>
        <v>55156.4</v>
      </c>
      <c r="U102" s="23">
        <f>+K102-T102</f>
        <v>711998.6</v>
      </c>
      <c r="V102" s="23"/>
      <c r="W102" s="64"/>
      <c r="X102" s="23">
        <f t="shared" si="61"/>
        <v>711998.6</v>
      </c>
    </row>
    <row r="103" spans="1:24" ht="24.75" thickBot="1" x14ac:dyDescent="0.3">
      <c r="A103" s="234"/>
      <c r="B103" s="26">
        <v>55</v>
      </c>
      <c r="C103" s="19" t="s">
        <v>163</v>
      </c>
      <c r="D103" s="20" t="s">
        <v>32</v>
      </c>
      <c r="E103" s="22">
        <v>1200000</v>
      </c>
      <c r="F103" s="22">
        <v>30</v>
      </c>
      <c r="G103" s="22">
        <f>+E103/30*F103</f>
        <v>1200000</v>
      </c>
      <c r="H103" s="22">
        <v>77700</v>
      </c>
      <c r="I103" s="69"/>
      <c r="J103" s="70">
        <f>+E103-G103</f>
        <v>0</v>
      </c>
      <c r="K103" s="71">
        <f t="shared" si="81"/>
        <v>1277700</v>
      </c>
      <c r="L103" s="22">
        <v>48000</v>
      </c>
      <c r="M103" s="22">
        <v>48000</v>
      </c>
      <c r="N103" s="22"/>
      <c r="O103" s="22"/>
      <c r="P103" s="22">
        <v>0</v>
      </c>
      <c r="Q103" s="22"/>
      <c r="R103" s="22"/>
      <c r="S103" s="22"/>
      <c r="T103" s="22">
        <f t="shared" si="41"/>
        <v>96000</v>
      </c>
      <c r="U103" s="23">
        <f>+K103-T103</f>
        <v>1181700</v>
      </c>
      <c r="V103" s="23"/>
      <c r="W103" s="64"/>
      <c r="X103" s="23">
        <f t="shared" si="61"/>
        <v>1181700</v>
      </c>
    </row>
    <row r="104" spans="1:24" ht="24" x14ac:dyDescent="0.25">
      <c r="A104" s="72"/>
      <c r="B104" s="26">
        <v>56</v>
      </c>
      <c r="C104" s="19" t="s">
        <v>207</v>
      </c>
      <c r="D104" s="20" t="s">
        <v>32</v>
      </c>
      <c r="E104" s="22">
        <v>1100000</v>
      </c>
      <c r="F104" s="22">
        <v>30</v>
      </c>
      <c r="G104" s="22">
        <f>+E104/30*F104</f>
        <v>1100000</v>
      </c>
      <c r="H104" s="22">
        <f>+(77700/30)*F104</f>
        <v>77700</v>
      </c>
      <c r="I104" s="22"/>
      <c r="J104" s="73"/>
      <c r="K104" s="22">
        <f t="shared" ref="K104" si="93">SUM(G104:I104)+J104</f>
        <v>1177700</v>
      </c>
      <c r="L104" s="22">
        <f t="shared" ref="L104" si="94">+G104*4%</f>
        <v>44000</v>
      </c>
      <c r="M104" s="22">
        <f t="shared" ref="M104" si="95">+G104*4%</f>
        <v>44000</v>
      </c>
      <c r="N104" s="22"/>
      <c r="O104" s="22"/>
      <c r="P104" s="22">
        <v>0</v>
      </c>
      <c r="Q104" s="22"/>
      <c r="R104" s="22"/>
      <c r="S104" s="22"/>
      <c r="T104" s="22">
        <f t="shared" si="41"/>
        <v>88000</v>
      </c>
      <c r="U104" s="23">
        <f>+K104-T104</f>
        <v>1089700</v>
      </c>
      <c r="V104" s="23"/>
      <c r="W104" s="64"/>
      <c r="X104" s="23">
        <f t="shared" si="61"/>
        <v>1089700</v>
      </c>
    </row>
    <row r="105" spans="1:24" ht="18.75" customHeight="1" x14ac:dyDescent="0.25">
      <c r="A105" s="72"/>
      <c r="B105" s="26">
        <v>57</v>
      </c>
      <c r="C105" s="19" t="s">
        <v>165</v>
      </c>
      <c r="D105" s="20" t="s">
        <v>32</v>
      </c>
      <c r="E105" s="22">
        <v>2000000</v>
      </c>
      <c r="F105" s="22">
        <v>30</v>
      </c>
      <c r="G105" s="22">
        <f t="shared" ref="G105:G107" si="96">+E105/30*F105</f>
        <v>2000000.0000000002</v>
      </c>
      <c r="H105" s="22"/>
      <c r="I105" s="22"/>
      <c r="J105" s="22"/>
      <c r="K105" s="22">
        <f t="shared" si="81"/>
        <v>2000000.0000000002</v>
      </c>
      <c r="L105" s="22">
        <f t="shared" si="87"/>
        <v>80000.000000000015</v>
      </c>
      <c r="M105" s="22">
        <f t="shared" si="90"/>
        <v>80000.000000000015</v>
      </c>
      <c r="N105" s="22"/>
      <c r="O105" s="22"/>
      <c r="P105" s="22"/>
      <c r="Q105" s="22"/>
      <c r="R105" s="22"/>
      <c r="S105" s="22"/>
      <c r="T105" s="22">
        <f t="shared" si="41"/>
        <v>160000.00000000003</v>
      </c>
      <c r="U105" s="23">
        <f>+K105-T105</f>
        <v>1840000.0000000002</v>
      </c>
      <c r="V105" s="23"/>
      <c r="W105" s="64"/>
      <c r="X105" s="23">
        <f t="shared" si="61"/>
        <v>1840000.0000000002</v>
      </c>
    </row>
    <row r="106" spans="1:24" x14ac:dyDescent="0.25">
      <c r="A106" s="72"/>
      <c r="B106" s="26">
        <v>58</v>
      </c>
      <c r="C106" s="19" t="s">
        <v>176</v>
      </c>
      <c r="D106" s="20" t="s">
        <v>32</v>
      </c>
      <c r="E106" s="22">
        <v>4000000</v>
      </c>
      <c r="F106" s="22">
        <v>30</v>
      </c>
      <c r="G106" s="22">
        <f t="shared" si="96"/>
        <v>4000000.0000000005</v>
      </c>
      <c r="H106" s="22"/>
      <c r="I106" s="22"/>
      <c r="J106" s="22"/>
      <c r="K106" s="22">
        <f t="shared" ref="K106" si="97">SUM(G106:I106)+J106</f>
        <v>4000000.0000000005</v>
      </c>
      <c r="L106" s="22">
        <f t="shared" si="87"/>
        <v>160000.00000000003</v>
      </c>
      <c r="M106" s="22">
        <f>+G106*5%</f>
        <v>200000.00000000003</v>
      </c>
      <c r="N106" s="22"/>
      <c r="O106" s="22"/>
      <c r="P106" s="22">
        <v>31064</v>
      </c>
      <c r="Q106" s="22"/>
      <c r="R106" s="22"/>
      <c r="S106" s="22"/>
      <c r="T106" s="22">
        <f t="shared" si="41"/>
        <v>391064.00000000006</v>
      </c>
      <c r="U106" s="23">
        <f>+K106-T106</f>
        <v>3608936.0000000005</v>
      </c>
      <c r="V106" s="23"/>
      <c r="W106" s="64"/>
      <c r="X106" s="23">
        <f t="shared" si="61"/>
        <v>3608936.0000000005</v>
      </c>
    </row>
    <row r="107" spans="1:24" ht="24.75" customHeight="1" x14ac:dyDescent="0.25">
      <c r="A107" s="72"/>
      <c r="B107" s="26">
        <v>59</v>
      </c>
      <c r="C107" s="19" t="s">
        <v>166</v>
      </c>
      <c r="D107" s="20" t="s">
        <v>32</v>
      </c>
      <c r="E107" s="22">
        <v>2500000</v>
      </c>
      <c r="F107" s="22">
        <v>20</v>
      </c>
      <c r="G107" s="22">
        <f t="shared" si="96"/>
        <v>1666666.6666666665</v>
      </c>
      <c r="H107" s="22"/>
      <c r="I107" s="22">
        <v>500000</v>
      </c>
      <c r="J107" s="22">
        <f>+E107-G107</f>
        <v>833333.33333333349</v>
      </c>
      <c r="K107" s="22">
        <f t="shared" si="81"/>
        <v>3000000</v>
      </c>
      <c r="L107" s="22">
        <v>100000</v>
      </c>
      <c r="M107" s="22">
        <v>100000</v>
      </c>
      <c r="N107" s="22"/>
      <c r="O107" s="22"/>
      <c r="P107" s="22">
        <v>0</v>
      </c>
      <c r="Q107" s="22"/>
      <c r="R107" s="22"/>
      <c r="S107" s="22"/>
      <c r="T107" s="22">
        <f t="shared" si="41"/>
        <v>200000</v>
      </c>
      <c r="U107" s="23">
        <f>K107-T107</f>
        <v>2800000</v>
      </c>
      <c r="V107" s="23"/>
      <c r="W107" s="64"/>
      <c r="X107" s="23">
        <f t="shared" si="61"/>
        <v>2800000</v>
      </c>
    </row>
    <row r="108" spans="1:24" x14ac:dyDescent="0.25">
      <c r="A108" s="26"/>
      <c r="B108" s="26"/>
      <c r="C108" s="19" t="s">
        <v>169</v>
      </c>
      <c r="D108" s="26"/>
      <c r="E108" s="22">
        <f>SUM(E4:E107)</f>
        <v>339871653</v>
      </c>
      <c r="F108" s="22" t="s">
        <v>1</v>
      </c>
      <c r="G108" s="22">
        <f>SUM(G4:G107)</f>
        <v>324438319.66666669</v>
      </c>
      <c r="H108" s="22">
        <f>SUM(H5:H103)</f>
        <v>1966320</v>
      </c>
      <c r="I108" s="22">
        <f>SUM(I5:I103)</f>
        <v>14529987</v>
      </c>
      <c r="J108" s="22">
        <f>SUM(J4:J107)</f>
        <v>5142920.6666666679</v>
      </c>
      <c r="K108" s="22">
        <f>SUM(K5:K103)</f>
        <v>331662547.33333337</v>
      </c>
      <c r="L108" s="22">
        <f>SUM(L5:L103)</f>
        <v>12512864.85333333</v>
      </c>
      <c r="M108" s="22">
        <f>SUM(M5:M103)</f>
        <v>14995716.793333327</v>
      </c>
      <c r="N108" s="22">
        <f>SUM(N5:N103)</f>
        <v>102400</v>
      </c>
      <c r="O108" s="22">
        <f>SUM(O4:O107)</f>
        <v>444800</v>
      </c>
      <c r="P108" s="22">
        <f>SUM(P4:P107)</f>
        <v>4543980</v>
      </c>
      <c r="Q108" s="22">
        <f>SUM(Q5:Q103)</f>
        <v>6200000</v>
      </c>
      <c r="R108" s="22">
        <f>SUM(R5:R103)</f>
        <v>1379279</v>
      </c>
      <c r="S108" s="22">
        <f>SUM(S5:S103)</f>
        <v>10177574</v>
      </c>
      <c r="T108" s="22">
        <f>SUM(T5:T103)</f>
        <v>50306550.646666653</v>
      </c>
      <c r="U108" s="23">
        <f>SUM(U4:U107)</f>
        <v>295057282.68666661</v>
      </c>
      <c r="V108" s="23">
        <f>SUM(V5:V103)</f>
        <v>0</v>
      </c>
      <c r="W108" s="64">
        <f>SUM(W5:W103)</f>
        <v>0</v>
      </c>
      <c r="X108" s="23">
        <f>SUM(X4:X107)</f>
        <v>294422984.08666664</v>
      </c>
    </row>
    <row r="109" spans="1:24" x14ac:dyDescent="0.25">
      <c r="E109" s="76"/>
      <c r="F109" s="76"/>
      <c r="G109" s="76"/>
      <c r="U109" s="77"/>
      <c r="V109" s="77"/>
      <c r="X109" s="77"/>
    </row>
    <row r="110" spans="1:24" x14ac:dyDescent="0.25">
      <c r="D110" s="7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5"/>
      <c r="W110" s="80"/>
      <c r="X110" s="79"/>
    </row>
    <row r="111" spans="1:24" x14ac:dyDescent="0.25">
      <c r="D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5"/>
      <c r="V111" s="75"/>
      <c r="W111" s="80"/>
      <c r="X111" s="79"/>
    </row>
    <row r="112" spans="1:24" x14ac:dyDescent="0.25">
      <c r="C112" s="81"/>
      <c r="D112" s="7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5"/>
      <c r="V112" s="75"/>
      <c r="W112" s="80"/>
      <c r="X112" s="79"/>
    </row>
    <row r="113" spans="2:28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5"/>
      <c r="V113" s="75"/>
      <c r="W113" s="80"/>
      <c r="X113" s="75"/>
      <c r="Y113" s="75"/>
      <c r="Z113" s="75"/>
      <c r="AA113" s="75"/>
      <c r="AB113" s="75"/>
    </row>
    <row r="114" spans="2:28" x14ac:dyDescent="0.25">
      <c r="B114" s="75"/>
      <c r="C114" s="81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76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75"/>
      <c r="Z114" s="75"/>
      <c r="AA114" s="75"/>
      <c r="AB114" s="75"/>
    </row>
    <row r="115" spans="2:28" x14ac:dyDescent="0.25">
      <c r="B115" s="75"/>
      <c r="C115" s="81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5"/>
      <c r="V115" s="75"/>
      <c r="W115" s="80"/>
      <c r="X115" s="75"/>
      <c r="Y115" s="75"/>
      <c r="Z115" s="75"/>
      <c r="AA115" s="75"/>
      <c r="AB115" s="75"/>
    </row>
    <row r="116" spans="2:28" x14ac:dyDescent="0.25">
      <c r="B116" s="75"/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5"/>
      <c r="V116" s="75"/>
      <c r="W116" s="80"/>
      <c r="X116" s="75"/>
      <c r="Y116" s="75"/>
      <c r="Z116" s="75"/>
      <c r="AA116" s="75"/>
      <c r="AB116" s="75"/>
    </row>
    <row r="117" spans="2:28" x14ac:dyDescent="0.25">
      <c r="B117" s="75"/>
      <c r="C117" s="81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5"/>
      <c r="V117" s="75"/>
      <c r="W117" s="80"/>
      <c r="X117" s="75"/>
      <c r="Y117" s="75"/>
      <c r="Z117" s="75"/>
      <c r="AA117" s="75"/>
      <c r="AB117" s="75"/>
    </row>
    <row r="118" spans="2:28" x14ac:dyDescent="0.25">
      <c r="B118" s="75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4"/>
      <c r="W118" s="85"/>
      <c r="X118" s="84"/>
      <c r="Y118" s="75"/>
      <c r="Z118" s="75"/>
      <c r="AA118" s="75"/>
      <c r="AB118" s="75"/>
    </row>
    <row r="119" spans="2:28" x14ac:dyDescent="0.25">
      <c r="B119" s="86"/>
      <c r="C119" s="81"/>
      <c r="D119" s="84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4"/>
      <c r="V119" s="84"/>
      <c r="W119" s="85"/>
      <c r="X119" s="84"/>
      <c r="Y119" s="75"/>
      <c r="Z119" s="75"/>
      <c r="AA119" s="75"/>
      <c r="AB119" s="75"/>
    </row>
    <row r="120" spans="2:28" x14ac:dyDescent="0.25">
      <c r="B120" s="75"/>
      <c r="C120" s="81"/>
      <c r="D120" s="75"/>
      <c r="E120" s="76"/>
      <c r="F120" s="76"/>
      <c r="G120" s="88"/>
      <c r="H120" s="76"/>
      <c r="I120" s="76"/>
      <c r="J120" s="76"/>
      <c r="K120" s="76"/>
      <c r="L120" s="76"/>
      <c r="M120" s="76"/>
      <c r="N120" s="89"/>
      <c r="O120" s="89"/>
      <c r="P120" s="89"/>
      <c r="Q120" s="89"/>
      <c r="R120" s="89"/>
      <c r="S120" s="76"/>
      <c r="T120" s="76"/>
      <c r="U120" s="75"/>
      <c r="V120" s="75"/>
      <c r="W120" s="80"/>
      <c r="X120" s="75"/>
      <c r="Y120" s="75"/>
      <c r="Z120" s="75"/>
      <c r="AA120" s="75"/>
      <c r="AB120" s="75"/>
    </row>
    <row r="121" spans="2:28" x14ac:dyDescent="0.25">
      <c r="B121" s="75"/>
      <c r="C121" s="90"/>
      <c r="D121" s="84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4"/>
      <c r="V121" s="84"/>
      <c r="W121" s="85"/>
      <c r="X121" s="84"/>
      <c r="Y121" s="75"/>
      <c r="Z121" s="75"/>
      <c r="AA121" s="75"/>
      <c r="AB121" s="75"/>
    </row>
    <row r="122" spans="2:28" x14ac:dyDescent="0.25">
      <c r="B122" s="84"/>
      <c r="C122" s="90"/>
      <c r="D122" s="84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4"/>
      <c r="V122" s="84"/>
      <c r="W122" s="85"/>
      <c r="X122" s="84"/>
      <c r="Y122" s="75"/>
      <c r="Z122" s="75"/>
      <c r="AA122" s="75"/>
      <c r="AB122" s="75"/>
    </row>
    <row r="123" spans="2:28" x14ac:dyDescent="0.25">
      <c r="B123" s="75"/>
      <c r="C123" s="90"/>
      <c r="D123" s="84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8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8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8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8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8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81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90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  <c r="Y133" s="75"/>
      <c r="Z133" s="75"/>
      <c r="AA133" s="75"/>
      <c r="AB133" s="75"/>
    </row>
    <row r="134" spans="2:28" x14ac:dyDescent="0.25">
      <c r="C134" s="90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  <c r="Y134" s="75"/>
      <c r="Z134" s="75"/>
      <c r="AA134" s="75"/>
      <c r="AB134" s="75"/>
    </row>
    <row r="135" spans="2:28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  <c r="Y135" s="75"/>
      <c r="Z135" s="75"/>
      <c r="AA135" s="75"/>
      <c r="AB135" s="75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  <c r="Y136" s="75"/>
      <c r="Z136" s="75"/>
      <c r="AA136" s="75"/>
      <c r="AB136" s="75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  <c r="Y137" s="75"/>
      <c r="Z137" s="75"/>
      <c r="AA137" s="75"/>
      <c r="AB137" s="75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  <c r="Y138" s="75"/>
      <c r="Z138" s="75"/>
      <c r="AA138" s="75"/>
      <c r="AB138" s="75"/>
    </row>
    <row r="139" spans="2:28" x14ac:dyDescent="0.25">
      <c r="C139" s="90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  <c r="Y139" s="75"/>
      <c r="Z139" s="75"/>
      <c r="AA139" s="75"/>
      <c r="AB139" s="75"/>
    </row>
    <row r="140" spans="2:28" x14ac:dyDescent="0.25">
      <c r="C140" s="90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  <c r="Y140" s="75"/>
      <c r="Z140" s="75"/>
      <c r="AA140" s="75"/>
      <c r="AB140" s="75"/>
    </row>
    <row r="141" spans="2:28" x14ac:dyDescent="0.25"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  <c r="Y141" s="75"/>
      <c r="Z141" s="75"/>
      <c r="AA141" s="75"/>
      <c r="AB141" s="75"/>
    </row>
    <row r="142" spans="2:28" x14ac:dyDescent="0.25">
      <c r="C142" s="81"/>
      <c r="D142" s="75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75"/>
      <c r="S142" s="76"/>
      <c r="T142" s="76"/>
      <c r="U142" s="75"/>
      <c r="V142" s="75"/>
      <c r="W142" s="80"/>
      <c r="X142" s="75"/>
      <c r="Y142" s="75"/>
      <c r="Z142" s="75"/>
      <c r="AA142" s="75"/>
      <c r="AB142" s="75"/>
    </row>
    <row r="143" spans="2:28" x14ac:dyDescent="0.25">
      <c r="B143" s="75"/>
      <c r="C143" s="81"/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31"/>
      <c r="T143" s="231"/>
      <c r="U143" s="231"/>
      <c r="V143" s="231"/>
      <c r="W143" s="231"/>
      <c r="X143" s="231"/>
      <c r="Y143" s="75"/>
      <c r="Z143" s="75"/>
      <c r="AA143" s="75"/>
      <c r="AB143" s="75"/>
    </row>
    <row r="144" spans="2:28" x14ac:dyDescent="0.25">
      <c r="B144" s="75"/>
      <c r="C144" s="81"/>
      <c r="D144" s="75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4"/>
      <c r="V144" s="84"/>
      <c r="W144" s="85"/>
      <c r="X144" s="84"/>
      <c r="Y144" s="75"/>
      <c r="Z144" s="75"/>
      <c r="AA144" s="75"/>
      <c r="AB144" s="75"/>
    </row>
    <row r="145" spans="2:24" x14ac:dyDescent="0.25">
      <c r="B145" s="75"/>
      <c r="C145" s="90"/>
      <c r="D145" s="84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4"/>
      <c r="V145" s="84"/>
      <c r="W145" s="85"/>
      <c r="X145" s="84"/>
    </row>
    <row r="146" spans="2:24" x14ac:dyDescent="0.25">
      <c r="B146" s="91"/>
      <c r="C146" s="90"/>
      <c r="D146" s="8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4"/>
      <c r="V146" s="84"/>
      <c r="W146" s="85"/>
      <c r="X146" s="84"/>
    </row>
    <row r="147" spans="2:24" x14ac:dyDescent="0.25">
      <c r="C147" s="90"/>
      <c r="D147" s="84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9"/>
      <c r="V147" s="79"/>
      <c r="W147" s="80"/>
      <c r="X147" s="79"/>
    </row>
    <row r="148" spans="2:24" x14ac:dyDescent="0.25">
      <c r="C148" s="90"/>
      <c r="D148" s="8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9"/>
      <c r="V148" s="79"/>
      <c r="W148" s="80"/>
      <c r="X148" s="79"/>
    </row>
    <row r="149" spans="2:24" x14ac:dyDescent="0.25">
      <c r="C149" s="90"/>
      <c r="D149" s="8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9"/>
      <c r="V149" s="79"/>
      <c r="W149" s="80"/>
      <c r="X149" s="79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9"/>
      <c r="V150" s="79"/>
      <c r="W150" s="80"/>
      <c r="X150" s="79"/>
    </row>
    <row r="151" spans="2:24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9"/>
      <c r="V151" s="79"/>
      <c r="W151" s="80"/>
      <c r="X151" s="79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9"/>
      <c r="V153" s="79"/>
      <c r="W153" s="80"/>
      <c r="X153" s="79"/>
    </row>
    <row r="154" spans="2:24" x14ac:dyDescent="0.25">
      <c r="B154" s="75"/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B155" s="75"/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B156" s="75"/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92"/>
      <c r="V156" s="92"/>
      <c r="W156" s="80"/>
      <c r="X156" s="92"/>
    </row>
    <row r="157" spans="2:24" x14ac:dyDescent="0.25">
      <c r="B157" s="75"/>
      <c r="C157" s="81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93"/>
      <c r="V157" s="93"/>
      <c r="W157" s="80"/>
      <c r="X157" s="93"/>
    </row>
    <row r="158" spans="2:24" x14ac:dyDescent="0.25">
      <c r="C158" s="81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81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81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/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/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/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/>
      <c r="D165" s="75"/>
      <c r="E165" s="76"/>
      <c r="F165" s="76"/>
      <c r="G165" s="76"/>
      <c r="H165" s="76"/>
      <c r="I165" s="76"/>
      <c r="J165" s="76"/>
      <c r="K165" s="76"/>
      <c r="L165" s="76">
        <v>3003000</v>
      </c>
      <c r="M165" s="76"/>
      <c r="N165" s="76"/>
      <c r="O165" s="76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90"/>
      <c r="D166" s="75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90"/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5"/>
      <c r="V167" s="75"/>
      <c r="W167" s="80"/>
      <c r="X167" s="75"/>
    </row>
    <row r="168" spans="3:24" x14ac:dyDescent="0.25">
      <c r="C168" s="90"/>
      <c r="D168" s="75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5"/>
      <c r="V168" s="75"/>
      <c r="W168" s="80"/>
      <c r="X168" s="75"/>
    </row>
    <row r="169" spans="3:24" x14ac:dyDescent="0.25">
      <c r="C169" s="90"/>
      <c r="D169" s="7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5"/>
      <c r="V169" s="75"/>
      <c r="W169" s="80"/>
      <c r="X169" s="75"/>
    </row>
    <row r="170" spans="3:24" x14ac:dyDescent="0.25">
      <c r="C170" s="81">
        <v>42614840</v>
      </c>
      <c r="D170" s="7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>
        <v>412608</v>
      </c>
      <c r="U170" s="75"/>
      <c r="V170" s="75"/>
      <c r="W170" s="80"/>
      <c r="X170" s="75"/>
    </row>
    <row r="171" spans="3:24" x14ac:dyDescent="0.25">
      <c r="C171" s="81">
        <v>9675182</v>
      </c>
      <c r="D171" s="7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>
        <v>1880000</v>
      </c>
      <c r="U171" s="75"/>
      <c r="V171" s="75"/>
      <c r="W171" s="80"/>
      <c r="X171" s="75"/>
    </row>
    <row r="172" spans="3:24" x14ac:dyDescent="0.25">
      <c r="C172" s="81">
        <v>17903600</v>
      </c>
      <c r="D172" s="7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5"/>
      <c r="V172" s="75"/>
      <c r="W172" s="80"/>
      <c r="X172" s="75"/>
    </row>
    <row r="173" spans="3:24" x14ac:dyDescent="0.25">
      <c r="C173" s="81">
        <f>SUM(C170:C172)</f>
        <v>70193622</v>
      </c>
      <c r="D173" s="7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5"/>
      <c r="V173" s="75"/>
      <c r="W173" s="80"/>
      <c r="X173" s="75"/>
    </row>
    <row r="174" spans="3:24" x14ac:dyDescent="0.25">
      <c r="C174" s="81">
        <v>400000</v>
      </c>
      <c r="D174" s="7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5"/>
      <c r="V174" s="75"/>
      <c r="W174" s="80"/>
      <c r="X174" s="75"/>
    </row>
    <row r="175" spans="3:24" x14ac:dyDescent="0.25">
      <c r="C175" s="81">
        <f>+C173+C174</f>
        <v>70593622</v>
      </c>
      <c r="D175" s="75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5"/>
      <c r="V175" s="75"/>
      <c r="W175" s="80"/>
      <c r="X175" s="75"/>
    </row>
    <row r="178" spans="3:3" x14ac:dyDescent="0.25">
      <c r="C178" s="74">
        <v>64000000</v>
      </c>
    </row>
    <row r="179" spans="3:3" x14ac:dyDescent="0.25">
      <c r="C179" s="74">
        <v>11000000</v>
      </c>
    </row>
    <row r="180" spans="3:3" x14ac:dyDescent="0.25">
      <c r="C180" s="74">
        <f>+C178+C179</f>
        <v>75000000</v>
      </c>
    </row>
    <row r="184" spans="3:3" x14ac:dyDescent="0.25">
      <c r="C184" s="74">
        <v>2745000</v>
      </c>
    </row>
    <row r="185" spans="3:3" x14ac:dyDescent="0.25">
      <c r="C185" s="74">
        <v>3185000</v>
      </c>
    </row>
    <row r="186" spans="3:3" x14ac:dyDescent="0.25">
      <c r="C186" s="74">
        <v>1080000</v>
      </c>
    </row>
    <row r="187" spans="3:3" x14ac:dyDescent="0.25">
      <c r="C187" s="74">
        <v>4850100</v>
      </c>
    </row>
    <row r="188" spans="3:3" x14ac:dyDescent="0.25">
      <c r="C188" s="74">
        <v>5027500</v>
      </c>
    </row>
    <row r="189" spans="3:3" x14ac:dyDescent="0.25">
      <c r="C189" s="74">
        <v>4566000</v>
      </c>
    </row>
    <row r="190" spans="3:3" x14ac:dyDescent="0.25">
      <c r="C190" s="74">
        <v>1050000</v>
      </c>
    </row>
    <row r="191" spans="3:3" x14ac:dyDescent="0.25">
      <c r="C191" s="74">
        <v>3877333</v>
      </c>
    </row>
    <row r="192" spans="3:3" x14ac:dyDescent="0.25">
      <c r="C192" s="74">
        <v>6732440</v>
      </c>
    </row>
    <row r="193" spans="3:3" x14ac:dyDescent="0.25">
      <c r="C193" s="74">
        <v>3460000</v>
      </c>
    </row>
    <row r="194" spans="3:3" x14ac:dyDescent="0.25">
      <c r="C194" s="74">
        <v>588800</v>
      </c>
    </row>
    <row r="195" spans="3:3" x14ac:dyDescent="0.25">
      <c r="C195" s="74">
        <v>1868000</v>
      </c>
    </row>
    <row r="196" spans="3:3" x14ac:dyDescent="0.25">
      <c r="C196" s="74">
        <v>10313000</v>
      </c>
    </row>
    <row r="197" spans="3:3" x14ac:dyDescent="0.25">
      <c r="C197" s="74">
        <v>3443800</v>
      </c>
    </row>
    <row r="198" spans="3:3" x14ac:dyDescent="0.25">
      <c r="C198" s="74">
        <v>8136400</v>
      </c>
    </row>
    <row r="199" spans="3:3" x14ac:dyDescent="0.25">
      <c r="C199" s="74">
        <v>9675183</v>
      </c>
    </row>
    <row r="200" spans="3:3" x14ac:dyDescent="0.25">
      <c r="C200" s="74">
        <f>SUM(C184:C199)</f>
        <v>70598556</v>
      </c>
    </row>
  </sheetData>
  <mergeCells count="7">
    <mergeCell ref="D143:X143"/>
    <mergeCell ref="C1:U1"/>
    <mergeCell ref="E2:K2"/>
    <mergeCell ref="L2:T2"/>
    <mergeCell ref="A3:A48"/>
    <mergeCell ref="A49:A103"/>
    <mergeCell ref="E142:Q1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B201"/>
  <sheetViews>
    <sheetView workbookViewId="0">
      <selection activeCell="G19" sqref="F19:G20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235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66"/>
      <c r="X3" s="20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5" si="0">SUM(G4:I4)+J4</f>
        <v>4815000</v>
      </c>
      <c r="L4" s="22">
        <f t="shared" ref="L4:L46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3" si="2">SUM(L4:S4)</f>
        <v>452350</v>
      </c>
      <c r="U4" s="23">
        <f t="shared" ref="U4:U8" si="3">+K4-T4</f>
        <v>4362650</v>
      </c>
      <c r="V4" s="23"/>
      <c r="W4" s="64"/>
      <c r="X4" s="23">
        <f t="shared" ref="X4:X67" si="4">U4+V4-W4</f>
        <v>4362650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64"/>
      <c r="X6" s="23">
        <f t="shared" si="4"/>
        <v>4043000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5492319</v>
      </c>
      <c r="F7" s="22">
        <v>25</v>
      </c>
      <c r="G7" s="22">
        <f t="shared" si="5"/>
        <v>4576932.5</v>
      </c>
      <c r="H7" s="22"/>
      <c r="I7" s="22"/>
      <c r="J7" s="22">
        <v>2929237</v>
      </c>
      <c r="K7" s="22">
        <f t="shared" si="0"/>
        <v>7506169.5</v>
      </c>
      <c r="L7" s="22">
        <f>+K7*4%</f>
        <v>300246.78000000003</v>
      </c>
      <c r="M7" s="22">
        <f>+K7*5%</f>
        <v>375308.47500000003</v>
      </c>
      <c r="N7" s="22"/>
      <c r="O7" s="22"/>
      <c r="P7" s="25">
        <v>196000</v>
      </c>
      <c r="Q7" s="22"/>
      <c r="R7" s="22"/>
      <c r="S7" s="22">
        <v>726520</v>
      </c>
      <c r="T7" s="22">
        <f t="shared" si="2"/>
        <v>1598075.2550000001</v>
      </c>
      <c r="U7" s="23">
        <f t="shared" si="3"/>
        <v>5908094.2450000001</v>
      </c>
      <c r="V7" s="23"/>
      <c r="W7" s="64"/>
      <c r="X7" s="23">
        <f t="shared" si="4"/>
        <v>5908094.2450000001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5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6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 t="shared" si="3"/>
        <v>6014299</v>
      </c>
      <c r="V8" s="23"/>
      <c r="W8" s="64"/>
      <c r="X8" s="23">
        <f t="shared" si="4"/>
        <v>6014299</v>
      </c>
    </row>
    <row r="9" spans="1: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4"/>
        <v>2873705</v>
      </c>
    </row>
    <row r="10" spans="1:24" x14ac:dyDescent="0.25">
      <c r="A10" s="233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ref="K10:K11" si="7">SUM(G10:I10)+J10</f>
        <v>4200000</v>
      </c>
      <c r="L10" s="22">
        <v>168000</v>
      </c>
      <c r="M10" s="22">
        <f>168000+42000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:T11" si="8">SUM(L10:S10)</f>
        <v>410000</v>
      </c>
      <c r="U10" s="23">
        <f>K10-T10</f>
        <v>3790000</v>
      </c>
      <c r="V10" s="23"/>
      <c r="W10" s="64"/>
      <c r="X10" s="23">
        <f t="shared" si="4"/>
        <v>3790000</v>
      </c>
    </row>
    <row r="11" spans="1:24" ht="24" x14ac:dyDescent="0.25">
      <c r="A11" s="233"/>
      <c r="B11" s="26">
        <v>8</v>
      </c>
      <c r="C11" s="19" t="s">
        <v>225</v>
      </c>
      <c r="D11" s="20" t="s">
        <v>105</v>
      </c>
      <c r="E11" s="22">
        <v>4500000</v>
      </c>
      <c r="F11" s="22">
        <v>30</v>
      </c>
      <c r="G11" s="22">
        <f>E11/30*F11</f>
        <v>4500000</v>
      </c>
      <c r="H11" s="22"/>
      <c r="I11" s="22"/>
      <c r="J11" s="22"/>
      <c r="K11" s="22">
        <f t="shared" si="7"/>
        <v>4500000</v>
      </c>
      <c r="L11" s="22">
        <f>+G11*4%</f>
        <v>180000</v>
      </c>
      <c r="M11" s="22">
        <f>+G11*5%</f>
        <v>225000</v>
      </c>
      <c r="N11" s="22"/>
      <c r="O11" s="22"/>
      <c r="P11" s="25">
        <v>72000</v>
      </c>
      <c r="Q11" s="22"/>
      <c r="R11" s="22"/>
      <c r="S11" s="22"/>
      <c r="T11" s="22">
        <f t="shared" si="8"/>
        <v>477000</v>
      </c>
      <c r="U11" s="23">
        <f>K11-T11</f>
        <v>4023000</v>
      </c>
      <c r="V11" s="23"/>
      <c r="W11" s="64"/>
      <c r="X11" s="23">
        <f t="shared" si="4"/>
        <v>4023000</v>
      </c>
    </row>
    <row r="12" spans="1:24" x14ac:dyDescent="0.25">
      <c r="A12" s="233"/>
      <c r="B12" s="26">
        <v>9</v>
      </c>
      <c r="C12" s="19" t="s">
        <v>44</v>
      </c>
      <c r="D12" s="20" t="s">
        <v>32</v>
      </c>
      <c r="E12" s="22">
        <v>5000000</v>
      </c>
      <c r="F12" s="22">
        <v>30</v>
      </c>
      <c r="G12" s="22">
        <f>+E12/30*F12</f>
        <v>5000000</v>
      </c>
      <c r="H12" s="22"/>
      <c r="I12" s="22">
        <v>136000</v>
      </c>
      <c r="J12" s="22"/>
      <c r="K12" s="22">
        <f t="shared" si="0"/>
        <v>5136000</v>
      </c>
      <c r="L12" s="22">
        <v>200000</v>
      </c>
      <c r="M12" s="22">
        <v>250000</v>
      </c>
      <c r="N12" s="22"/>
      <c r="O12" s="22"/>
      <c r="P12" s="22">
        <v>6248</v>
      </c>
      <c r="Q12" s="22"/>
      <c r="R12" s="22"/>
      <c r="S12" s="22"/>
      <c r="T12" s="22">
        <f t="shared" si="2"/>
        <v>456248</v>
      </c>
      <c r="U12" s="23">
        <f t="shared" ref="U12:U18" si="9">+K12-T12</f>
        <v>4679752</v>
      </c>
      <c r="V12" s="23"/>
      <c r="W12" s="64"/>
      <c r="X12" s="23">
        <f t="shared" si="4"/>
        <v>4679752</v>
      </c>
    </row>
    <row r="13" spans="1:24" x14ac:dyDescent="0.25">
      <c r="A13" s="233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ref="G13:G18" si="10">+E13/30*F13</f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9"/>
        <v>4092000</v>
      </c>
      <c r="V13" s="23"/>
      <c r="W13" s="64"/>
      <c r="X13" s="23">
        <f t="shared" si="4"/>
        <v>4092000</v>
      </c>
    </row>
    <row r="14" spans="1:24" x14ac:dyDescent="0.25">
      <c r="A14" s="233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10"/>
        <v>4200000</v>
      </c>
      <c r="H14" s="22"/>
      <c r="I14" s="22"/>
      <c r="J14" s="22"/>
      <c r="K14" s="22">
        <f t="shared" ref="K14:K16" si="11">SUM(G14:I14)+J14</f>
        <v>4200000</v>
      </c>
      <c r="L14" s="22">
        <v>168000</v>
      </c>
      <c r="M14" s="22">
        <v>210000</v>
      </c>
      <c r="N14" s="22"/>
      <c r="O14" s="22"/>
      <c r="P14" s="22">
        <v>32000</v>
      </c>
      <c r="Q14" s="22"/>
      <c r="R14" s="22"/>
      <c r="S14" s="22"/>
      <c r="T14" s="22">
        <f t="shared" ref="T14:T16" si="12">SUM(L14:S14)</f>
        <v>410000</v>
      </c>
      <c r="U14" s="23">
        <f t="shared" si="9"/>
        <v>3790000</v>
      </c>
      <c r="V14" s="23"/>
      <c r="W14" s="64"/>
      <c r="X14" s="23">
        <f t="shared" si="4"/>
        <v>3790000</v>
      </c>
    </row>
    <row r="15" spans="1:24" x14ac:dyDescent="0.25">
      <c r="A15" s="233"/>
      <c r="B15" s="26">
        <v>12</v>
      </c>
      <c r="C15" s="30" t="s">
        <v>226</v>
      </c>
      <c r="D15" s="26" t="s">
        <v>105</v>
      </c>
      <c r="E15" s="22">
        <v>4000000</v>
      </c>
      <c r="F15" s="22">
        <v>30</v>
      </c>
      <c r="G15" s="22">
        <f t="shared" si="10"/>
        <v>4000000.0000000005</v>
      </c>
      <c r="H15" s="22"/>
      <c r="I15" s="22"/>
      <c r="J15" s="22"/>
      <c r="K15" s="22">
        <f t="shared" si="11"/>
        <v>4000000.0000000005</v>
      </c>
      <c r="L15" s="22">
        <v>160000</v>
      </c>
      <c r="M15" s="22">
        <v>200000</v>
      </c>
      <c r="N15" s="22"/>
      <c r="O15" s="22"/>
      <c r="P15" s="22">
        <v>4500</v>
      </c>
      <c r="Q15" s="22"/>
      <c r="R15" s="22"/>
      <c r="S15" s="22"/>
      <c r="T15" s="22">
        <f t="shared" si="12"/>
        <v>364500</v>
      </c>
      <c r="U15" s="23">
        <f t="shared" si="9"/>
        <v>3635500.0000000005</v>
      </c>
      <c r="V15" s="23"/>
      <c r="W15" s="64"/>
      <c r="X15" s="23">
        <f t="shared" si="4"/>
        <v>3635500.0000000005</v>
      </c>
    </row>
    <row r="16" spans="1:24" x14ac:dyDescent="0.25">
      <c r="A16" s="233"/>
      <c r="B16" s="26">
        <v>13</v>
      </c>
      <c r="C16" s="30" t="s">
        <v>227</v>
      </c>
      <c r="D16" s="26" t="s">
        <v>105</v>
      </c>
      <c r="E16" s="22">
        <v>4500000</v>
      </c>
      <c r="F16" s="22">
        <v>30</v>
      </c>
      <c r="G16" s="22">
        <f t="shared" si="10"/>
        <v>4500000</v>
      </c>
      <c r="H16" s="22"/>
      <c r="I16" s="22"/>
      <c r="J16" s="22"/>
      <c r="K16" s="22">
        <f t="shared" si="11"/>
        <v>4500000</v>
      </c>
      <c r="L16" s="22">
        <f>+G16*4%</f>
        <v>180000</v>
      </c>
      <c r="M16" s="22">
        <f>+G16*5%</f>
        <v>225000</v>
      </c>
      <c r="N16" s="22"/>
      <c r="O16" s="22"/>
      <c r="P16" s="22">
        <v>72000</v>
      </c>
      <c r="Q16" s="22"/>
      <c r="R16" s="22"/>
      <c r="S16" s="22"/>
      <c r="T16" s="22">
        <f t="shared" si="12"/>
        <v>477000</v>
      </c>
      <c r="U16" s="23">
        <f t="shared" si="9"/>
        <v>4023000</v>
      </c>
      <c r="V16" s="23"/>
      <c r="W16" s="64"/>
      <c r="X16" s="23">
        <f t="shared" si="4"/>
        <v>4023000</v>
      </c>
    </row>
    <row r="17" spans="1:24" x14ac:dyDescent="0.25">
      <c r="A17" s="233"/>
      <c r="B17" s="26">
        <v>14</v>
      </c>
      <c r="C17" s="19" t="s">
        <v>49</v>
      </c>
      <c r="D17" s="20" t="s">
        <v>32</v>
      </c>
      <c r="E17" s="22">
        <v>5500000</v>
      </c>
      <c r="F17" s="22">
        <v>27</v>
      </c>
      <c r="G17" s="22">
        <f t="shared" si="10"/>
        <v>4950000</v>
      </c>
      <c r="H17" s="22"/>
      <c r="I17" s="22">
        <v>450000</v>
      </c>
      <c r="J17" s="22">
        <v>3483333</v>
      </c>
      <c r="K17" s="22">
        <f t="shared" si="0"/>
        <v>8883333</v>
      </c>
      <c r="L17" s="22">
        <v>337333</v>
      </c>
      <c r="M17" s="22">
        <v>421667</v>
      </c>
      <c r="N17" s="22"/>
      <c r="O17" s="22"/>
      <c r="P17" s="25">
        <v>301042</v>
      </c>
      <c r="Q17" s="22">
        <v>400000</v>
      </c>
      <c r="R17" s="22"/>
      <c r="S17" s="22"/>
      <c r="T17" s="22">
        <f t="shared" si="2"/>
        <v>1460042</v>
      </c>
      <c r="U17" s="23">
        <f t="shared" si="9"/>
        <v>7423291</v>
      </c>
      <c r="V17" s="23"/>
      <c r="W17" s="64"/>
      <c r="X17" s="23">
        <f t="shared" si="4"/>
        <v>7423291</v>
      </c>
    </row>
    <row r="18" spans="1:24" x14ac:dyDescent="0.25">
      <c r="A18" s="233"/>
      <c r="B18" s="26">
        <v>15</v>
      </c>
      <c r="C18" s="19" t="s">
        <v>228</v>
      </c>
      <c r="D18" s="20" t="s">
        <v>32</v>
      </c>
      <c r="E18" s="22">
        <v>3500000</v>
      </c>
      <c r="F18" s="22">
        <v>30</v>
      </c>
      <c r="G18" s="22">
        <f t="shared" si="10"/>
        <v>3500000</v>
      </c>
      <c r="H18" s="22"/>
      <c r="I18" s="22"/>
      <c r="J18" s="22"/>
      <c r="K18" s="22">
        <f t="shared" ref="K18" si="13">SUM(G18:I18)+J18</f>
        <v>3500000</v>
      </c>
      <c r="L18" s="22">
        <f t="shared" ref="L18" si="14">+G18*4%</f>
        <v>140000</v>
      </c>
      <c r="M18" s="22">
        <f t="shared" ref="M18" si="15">+G18*5%</f>
        <v>175000</v>
      </c>
      <c r="N18" s="22"/>
      <c r="O18" s="22"/>
      <c r="P18" s="25"/>
      <c r="Q18" s="22"/>
      <c r="R18" s="22"/>
      <c r="S18" s="22"/>
      <c r="T18" s="22">
        <f t="shared" ref="T18" si="16">SUM(L18:S18)</f>
        <v>315000</v>
      </c>
      <c r="U18" s="23">
        <f t="shared" si="9"/>
        <v>3185000</v>
      </c>
      <c r="V18" s="23"/>
      <c r="W18" s="64"/>
      <c r="X18" s="23">
        <f t="shared" si="4"/>
        <v>3185000</v>
      </c>
    </row>
    <row r="19" spans="1:24" ht="24" x14ac:dyDescent="0.25">
      <c r="A19" s="233"/>
      <c r="B19" s="26">
        <v>16</v>
      </c>
      <c r="C19" s="19" t="s">
        <v>54</v>
      </c>
      <c r="D19" s="20" t="s">
        <v>32</v>
      </c>
      <c r="E19" s="22">
        <v>5000000</v>
      </c>
      <c r="F19" s="22">
        <v>29</v>
      </c>
      <c r="G19" s="22">
        <v>4944450</v>
      </c>
      <c r="H19" s="22"/>
      <c r="I19" s="22">
        <v>990000</v>
      </c>
      <c r="J19" s="22"/>
      <c r="K19" s="22">
        <f t="shared" si="0"/>
        <v>5934450</v>
      </c>
      <c r="L19" s="22">
        <v>200000</v>
      </c>
      <c r="M19" s="22">
        <v>250000</v>
      </c>
      <c r="N19" s="22"/>
      <c r="O19" s="22"/>
      <c r="P19" s="25">
        <v>98752</v>
      </c>
      <c r="Q19" s="22"/>
      <c r="R19" s="22"/>
      <c r="S19" s="22"/>
      <c r="T19" s="22">
        <f t="shared" si="2"/>
        <v>548752</v>
      </c>
      <c r="U19" s="23">
        <f>K19-T19</f>
        <v>5385698</v>
      </c>
      <c r="V19" s="23"/>
      <c r="W19" s="64"/>
      <c r="X19" s="23">
        <f t="shared" si="4"/>
        <v>5385698</v>
      </c>
    </row>
    <row r="20" spans="1:24" x14ac:dyDescent="0.25">
      <c r="A20" s="233"/>
      <c r="B20" s="26">
        <v>17</v>
      </c>
      <c r="C20" s="19" t="s">
        <v>56</v>
      </c>
      <c r="D20" s="20" t="s">
        <v>32</v>
      </c>
      <c r="E20" s="22">
        <v>6000000</v>
      </c>
      <c r="F20" s="22">
        <v>30</v>
      </c>
      <c r="G20" s="22">
        <f t="shared" ref="G20:G29" si="17">E20/30*F20</f>
        <v>6000000</v>
      </c>
      <c r="H20" s="22"/>
      <c r="I20" s="22"/>
      <c r="J20" s="22"/>
      <c r="K20" s="22">
        <f t="shared" si="0"/>
        <v>6000000</v>
      </c>
      <c r="L20" s="22">
        <f>+G20*4%</f>
        <v>240000</v>
      </c>
      <c r="M20" s="22">
        <f>+G20*5%</f>
        <v>300000</v>
      </c>
      <c r="N20" s="22"/>
      <c r="O20" s="22"/>
      <c r="P20" s="25">
        <v>241000</v>
      </c>
      <c r="Q20" s="22"/>
      <c r="R20" s="22"/>
      <c r="S20" s="22"/>
      <c r="T20" s="22">
        <f t="shared" si="2"/>
        <v>781000</v>
      </c>
      <c r="U20" s="23">
        <f>K20-T20</f>
        <v>5219000</v>
      </c>
      <c r="V20" s="23"/>
      <c r="W20" s="64"/>
      <c r="X20" s="23">
        <f t="shared" si="4"/>
        <v>5219000</v>
      </c>
    </row>
    <row r="21" spans="1:24" x14ac:dyDescent="0.25">
      <c r="A21" s="233"/>
      <c r="B21" s="26">
        <v>18</v>
      </c>
      <c r="C21" s="19" t="s">
        <v>192</v>
      </c>
      <c r="D21" s="20" t="s">
        <v>32</v>
      </c>
      <c r="E21" s="22">
        <v>6900000</v>
      </c>
      <c r="F21" s="22">
        <v>30</v>
      </c>
      <c r="G21" s="22">
        <f t="shared" si="17"/>
        <v>6900000</v>
      </c>
      <c r="H21" s="22"/>
      <c r="I21" s="22">
        <v>1400000</v>
      </c>
      <c r="J21" s="22"/>
      <c r="K21" s="22">
        <f t="shared" ref="K21" si="18">SUM(G21:I21)+J21</f>
        <v>8300000</v>
      </c>
      <c r="L21" s="22">
        <f t="shared" ref="L21" si="19">+G21*4%</f>
        <v>276000</v>
      </c>
      <c r="M21" s="22">
        <f t="shared" ref="M21" si="20">+G21*5%</f>
        <v>345000</v>
      </c>
      <c r="N21" s="22"/>
      <c r="O21" s="22"/>
      <c r="P21" s="25">
        <v>113000</v>
      </c>
      <c r="Q21" s="22">
        <v>1300000</v>
      </c>
      <c r="R21" s="22"/>
      <c r="S21" s="22"/>
      <c r="T21" s="22">
        <f t="shared" ref="T21:T22" si="21">SUM(L21:S21)</f>
        <v>2034000</v>
      </c>
      <c r="U21" s="23">
        <f>K21-T21</f>
        <v>6266000</v>
      </c>
      <c r="V21" s="23"/>
      <c r="W21" s="64"/>
      <c r="X21" s="23">
        <f t="shared" si="4"/>
        <v>6266000</v>
      </c>
    </row>
    <row r="22" spans="1:24" x14ac:dyDescent="0.25">
      <c r="A22" s="233"/>
      <c r="B22" s="26">
        <v>19</v>
      </c>
      <c r="C22" s="19" t="s">
        <v>229</v>
      </c>
      <c r="D22" s="20" t="s">
        <v>32</v>
      </c>
      <c r="E22" s="22">
        <v>3500000</v>
      </c>
      <c r="F22" s="22">
        <v>30</v>
      </c>
      <c r="G22" s="22">
        <f t="shared" ref="G22" si="22">+E22/30*F22</f>
        <v>3500000</v>
      </c>
      <c r="H22" s="22"/>
      <c r="I22" s="22"/>
      <c r="J22" s="22"/>
      <c r="K22" s="22">
        <f t="shared" ref="K22" si="23">SUM(G22:I22)+J22</f>
        <v>3500000</v>
      </c>
      <c r="L22" s="22">
        <v>140000</v>
      </c>
      <c r="M22" s="22">
        <v>175000</v>
      </c>
      <c r="N22" s="22"/>
      <c r="O22" s="22"/>
      <c r="P22" s="22"/>
      <c r="Q22" s="22"/>
      <c r="R22" s="22"/>
      <c r="S22" s="22"/>
      <c r="T22" s="22">
        <f t="shared" si="21"/>
        <v>315000</v>
      </c>
      <c r="U22" s="23">
        <f t="shared" ref="U22" si="24">+K22-T22</f>
        <v>3185000</v>
      </c>
      <c r="V22" s="23"/>
      <c r="W22" s="64"/>
      <c r="X22" s="23">
        <f t="shared" si="4"/>
        <v>3185000</v>
      </c>
    </row>
    <row r="23" spans="1:24" x14ac:dyDescent="0.25">
      <c r="A23" s="233"/>
      <c r="B23" s="26">
        <v>20</v>
      </c>
      <c r="C23" s="19" t="s">
        <v>59</v>
      </c>
      <c r="D23" s="20" t="s">
        <v>32</v>
      </c>
      <c r="E23" s="22">
        <v>4472600</v>
      </c>
      <c r="F23" s="22">
        <v>30</v>
      </c>
      <c r="G23" s="22">
        <f t="shared" si="17"/>
        <v>4472600</v>
      </c>
      <c r="H23" s="22"/>
      <c r="I23" s="22">
        <v>1621317</v>
      </c>
      <c r="J23" s="22"/>
      <c r="K23" s="22">
        <f t="shared" si="0"/>
        <v>6093917</v>
      </c>
      <c r="L23" s="22">
        <f t="shared" si="1"/>
        <v>178904</v>
      </c>
      <c r="M23" s="22">
        <f t="shared" si="6"/>
        <v>223630</v>
      </c>
      <c r="N23" s="22"/>
      <c r="O23" s="22"/>
      <c r="P23" s="25">
        <v>50000</v>
      </c>
      <c r="Q23" s="22">
        <v>800000</v>
      </c>
      <c r="R23" s="22"/>
      <c r="S23" s="22">
        <f>884747</f>
        <v>884747</v>
      </c>
      <c r="T23" s="22">
        <f t="shared" si="2"/>
        <v>2137281</v>
      </c>
      <c r="U23" s="23">
        <f>+K23-T23</f>
        <v>3956636</v>
      </c>
      <c r="V23" s="23"/>
      <c r="W23" s="64"/>
      <c r="X23" s="23">
        <f t="shared" si="4"/>
        <v>3956636</v>
      </c>
    </row>
    <row r="24" spans="1:24" x14ac:dyDescent="0.25">
      <c r="A24" s="233"/>
      <c r="B24" s="26">
        <v>21</v>
      </c>
      <c r="C24" s="19" t="s">
        <v>61</v>
      </c>
      <c r="D24" s="20" t="s">
        <v>32</v>
      </c>
      <c r="E24" s="22">
        <v>4000000</v>
      </c>
      <c r="F24" s="22">
        <v>30</v>
      </c>
      <c r="G24" s="22">
        <f t="shared" si="17"/>
        <v>4000000.0000000005</v>
      </c>
      <c r="H24" s="22"/>
      <c r="I24" s="22"/>
      <c r="J24" s="22"/>
      <c r="K24" s="22">
        <f t="shared" si="0"/>
        <v>4000000.0000000005</v>
      </c>
      <c r="L24" s="22">
        <f t="shared" si="1"/>
        <v>160000.00000000003</v>
      </c>
      <c r="M24" s="22">
        <f t="shared" si="6"/>
        <v>200000.00000000003</v>
      </c>
      <c r="N24" s="22"/>
      <c r="O24" s="22"/>
      <c r="P24" s="25">
        <v>31000</v>
      </c>
      <c r="Q24" s="22"/>
      <c r="R24" s="22"/>
      <c r="S24" s="22"/>
      <c r="T24" s="22">
        <f t="shared" si="2"/>
        <v>391000.00000000006</v>
      </c>
      <c r="U24" s="23">
        <f>+K24-T24</f>
        <v>3609000.0000000005</v>
      </c>
      <c r="V24" s="23"/>
      <c r="W24" s="64"/>
      <c r="X24" s="23">
        <f t="shared" si="4"/>
        <v>3609000.0000000005</v>
      </c>
    </row>
    <row r="25" spans="1:24" x14ac:dyDescent="0.25">
      <c r="A25" s="233"/>
      <c r="B25" s="26">
        <v>22</v>
      </c>
      <c r="C25" s="19" t="s">
        <v>203</v>
      </c>
      <c r="D25" s="20" t="s">
        <v>32</v>
      </c>
      <c r="E25" s="22">
        <v>5000000</v>
      </c>
      <c r="F25" s="22">
        <v>30</v>
      </c>
      <c r="G25" s="22">
        <f t="shared" si="17"/>
        <v>5000000</v>
      </c>
      <c r="H25" s="22"/>
      <c r="I25" s="22"/>
      <c r="J25" s="22"/>
      <c r="K25" s="22">
        <f t="shared" ref="K25:K26" si="25">SUM(G25:I25)+J25</f>
        <v>5000000</v>
      </c>
      <c r="L25" s="22">
        <f t="shared" si="1"/>
        <v>200000</v>
      </c>
      <c r="M25" s="22">
        <f>+E25*5%</f>
        <v>250000</v>
      </c>
      <c r="N25" s="22"/>
      <c r="O25" s="22"/>
      <c r="P25" s="25">
        <v>140000</v>
      </c>
      <c r="Q25" s="22"/>
      <c r="R25" s="22"/>
      <c r="S25" s="22"/>
      <c r="T25" s="22">
        <f t="shared" ref="T25:T26" si="26">SUM(L25:S25)</f>
        <v>590000</v>
      </c>
      <c r="U25" s="23">
        <f>+K25-T25</f>
        <v>4410000</v>
      </c>
      <c r="V25" s="23"/>
      <c r="W25" s="64"/>
      <c r="X25" s="23">
        <f t="shared" si="4"/>
        <v>4410000</v>
      </c>
    </row>
    <row r="26" spans="1:24" x14ac:dyDescent="0.25">
      <c r="A26" s="233"/>
      <c r="B26" s="26">
        <v>23</v>
      </c>
      <c r="C26" s="19" t="s">
        <v>219</v>
      </c>
      <c r="D26" s="20" t="s">
        <v>32</v>
      </c>
      <c r="E26" s="22">
        <v>4500000</v>
      </c>
      <c r="F26" s="22">
        <v>30</v>
      </c>
      <c r="G26" s="22">
        <f t="shared" si="17"/>
        <v>4500000</v>
      </c>
      <c r="H26" s="22"/>
      <c r="I26" s="22"/>
      <c r="J26" s="22"/>
      <c r="K26" s="22">
        <f t="shared" si="25"/>
        <v>4500000</v>
      </c>
      <c r="L26" s="22">
        <f>+G26*4%</f>
        <v>180000</v>
      </c>
      <c r="M26" s="22">
        <f>+G26*5%</f>
        <v>225000</v>
      </c>
      <c r="N26" s="22"/>
      <c r="O26" s="22"/>
      <c r="P26" s="25">
        <v>72000</v>
      </c>
      <c r="Q26" s="22"/>
      <c r="R26" s="22"/>
      <c r="S26" s="22"/>
      <c r="T26" s="22">
        <f t="shared" si="26"/>
        <v>477000</v>
      </c>
      <c r="U26" s="23">
        <f>+K26-T26</f>
        <v>4023000</v>
      </c>
      <c r="V26" s="23"/>
      <c r="W26" s="64"/>
      <c r="X26" s="23">
        <f t="shared" si="4"/>
        <v>4023000</v>
      </c>
    </row>
    <row r="27" spans="1:24" x14ac:dyDescent="0.25">
      <c r="A27" s="233"/>
      <c r="B27" s="26">
        <v>24</v>
      </c>
      <c r="C27" s="19" t="s">
        <v>62</v>
      </c>
      <c r="D27" s="20" t="s">
        <v>32</v>
      </c>
      <c r="E27" s="22">
        <v>5031675</v>
      </c>
      <c r="F27" s="22">
        <v>30</v>
      </c>
      <c r="G27" s="22">
        <f t="shared" si="17"/>
        <v>5031675</v>
      </c>
      <c r="H27" s="22"/>
      <c r="I27" s="22">
        <v>800000</v>
      </c>
      <c r="J27" s="22"/>
      <c r="K27" s="22">
        <f t="shared" si="0"/>
        <v>5831675</v>
      </c>
      <c r="L27" s="22">
        <f>+E27*4%</f>
        <v>201267</v>
      </c>
      <c r="M27" s="22">
        <f>E27*5%</f>
        <v>251583.75</v>
      </c>
      <c r="N27" s="22"/>
      <c r="O27" s="22"/>
      <c r="P27" s="25">
        <v>44000</v>
      </c>
      <c r="Q27" s="22"/>
      <c r="R27" s="22"/>
      <c r="S27" s="22"/>
      <c r="T27" s="22">
        <f t="shared" si="2"/>
        <v>496850.75</v>
      </c>
      <c r="U27" s="23">
        <f>K27-T27</f>
        <v>5334824.25</v>
      </c>
      <c r="V27" s="23"/>
      <c r="W27" s="64"/>
      <c r="X27" s="23">
        <f t="shared" si="4"/>
        <v>5334824.25</v>
      </c>
    </row>
    <row r="28" spans="1:24" x14ac:dyDescent="0.25">
      <c r="A28" s="233"/>
      <c r="B28" s="26">
        <v>25</v>
      </c>
      <c r="C28" s="19" t="s">
        <v>64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>
        <v>300000</v>
      </c>
      <c r="J28" s="22"/>
      <c r="K28" s="22">
        <f t="shared" si="0"/>
        <v>4800000</v>
      </c>
      <c r="L28" s="22">
        <v>180000</v>
      </c>
      <c r="M28" s="22">
        <v>225000</v>
      </c>
      <c r="N28" s="22"/>
      <c r="O28" s="22"/>
      <c r="P28" s="25">
        <v>99000</v>
      </c>
      <c r="Q28" s="22"/>
      <c r="R28" s="22"/>
      <c r="S28" s="22"/>
      <c r="T28" s="22">
        <f t="shared" si="2"/>
        <v>504000</v>
      </c>
      <c r="U28" s="23">
        <f>K28-T28</f>
        <v>4296000</v>
      </c>
      <c r="V28" s="23"/>
      <c r="W28" s="64"/>
      <c r="X28" s="23">
        <f t="shared" si="4"/>
        <v>4296000</v>
      </c>
    </row>
    <row r="29" spans="1:24" x14ac:dyDescent="0.25">
      <c r="A29" s="233"/>
      <c r="B29" s="26">
        <v>26</v>
      </c>
      <c r="C29" s="19" t="s">
        <v>230</v>
      </c>
      <c r="D29" s="20" t="s">
        <v>32</v>
      </c>
      <c r="E29" s="22">
        <v>3500000</v>
      </c>
      <c r="F29" s="22">
        <v>30</v>
      </c>
      <c r="G29" s="22">
        <f t="shared" si="17"/>
        <v>3500000</v>
      </c>
      <c r="H29" s="22"/>
      <c r="I29" s="22"/>
      <c r="J29" s="22"/>
      <c r="K29" s="22">
        <f>SUM(G29:I29)+J29</f>
        <v>3500000</v>
      </c>
      <c r="L29" s="22">
        <v>140000</v>
      </c>
      <c r="M29" s="22">
        <v>175000</v>
      </c>
      <c r="N29" s="22"/>
      <c r="O29" s="22"/>
      <c r="P29" s="25">
        <v>0</v>
      </c>
      <c r="Q29" s="22"/>
      <c r="R29" s="22"/>
      <c r="S29" s="22"/>
      <c r="T29" s="22">
        <f t="shared" ref="T29" si="27">SUM(L29:S29)</f>
        <v>315000</v>
      </c>
      <c r="U29" s="23">
        <f>K29-T29</f>
        <v>3185000</v>
      </c>
      <c r="V29" s="23"/>
      <c r="W29" s="64"/>
      <c r="X29" s="23">
        <f t="shared" si="4"/>
        <v>3185000</v>
      </c>
    </row>
    <row r="30" spans="1:24" x14ac:dyDescent="0.25">
      <c r="A30" s="233"/>
      <c r="B30" s="26">
        <v>27</v>
      </c>
      <c r="C30" s="19" t="s">
        <v>65</v>
      </c>
      <c r="D30" s="20" t="s">
        <v>32</v>
      </c>
      <c r="E30" s="22">
        <v>4500000</v>
      </c>
      <c r="F30" s="22">
        <v>30</v>
      </c>
      <c r="G30" s="22">
        <f t="shared" ref="G30:G54" si="28">+E30/30*F30</f>
        <v>4500000</v>
      </c>
      <c r="H30" s="22"/>
      <c r="I30" s="22"/>
      <c r="J30" s="22"/>
      <c r="K30" s="22">
        <f t="shared" si="0"/>
        <v>4500000</v>
      </c>
      <c r="L30" s="22">
        <v>180000</v>
      </c>
      <c r="M30" s="22">
        <v>225000</v>
      </c>
      <c r="N30" s="22"/>
      <c r="O30" s="22"/>
      <c r="P30" s="25">
        <v>72146</v>
      </c>
      <c r="Q30" s="22"/>
      <c r="R30" s="22"/>
      <c r="S30" s="22">
        <v>209579</v>
      </c>
      <c r="T30" s="22">
        <f t="shared" si="2"/>
        <v>686725</v>
      </c>
      <c r="U30" s="23">
        <f>K30-T30</f>
        <v>3813275</v>
      </c>
      <c r="V30" s="23"/>
      <c r="W30" s="64"/>
      <c r="X30" s="23">
        <f t="shared" si="4"/>
        <v>3813275</v>
      </c>
    </row>
    <row r="31" spans="1:24" x14ac:dyDescent="0.25">
      <c r="A31" s="233"/>
      <c r="B31" s="26">
        <v>28</v>
      </c>
      <c r="C31" s="19" t="s">
        <v>67</v>
      </c>
      <c r="D31" s="20" t="s">
        <v>32</v>
      </c>
      <c r="E31" s="22">
        <v>4000000</v>
      </c>
      <c r="F31" s="22">
        <v>30</v>
      </c>
      <c r="G31" s="22">
        <f>E31/30*F31</f>
        <v>4000000.0000000005</v>
      </c>
      <c r="H31" s="22"/>
      <c r="I31" s="22"/>
      <c r="J31" s="22"/>
      <c r="K31" s="22">
        <f t="shared" si="0"/>
        <v>4000000.0000000005</v>
      </c>
      <c r="L31" s="22">
        <v>160000</v>
      </c>
      <c r="M31" s="22">
        <v>200000</v>
      </c>
      <c r="N31" s="22"/>
      <c r="O31" s="22"/>
      <c r="P31" s="25">
        <v>31064</v>
      </c>
      <c r="Q31" s="22"/>
      <c r="R31" s="22"/>
      <c r="S31" s="22"/>
      <c r="T31" s="22">
        <f t="shared" si="2"/>
        <v>391064</v>
      </c>
      <c r="U31" s="23">
        <f>K31-T31</f>
        <v>3608936.0000000005</v>
      </c>
      <c r="V31" s="23"/>
      <c r="W31" s="64"/>
      <c r="X31" s="23">
        <f t="shared" si="4"/>
        <v>3608936.0000000005</v>
      </c>
    </row>
    <row r="32" spans="1:24" x14ac:dyDescent="0.25">
      <c r="A32" s="233"/>
      <c r="B32" s="26">
        <v>29</v>
      </c>
      <c r="C32" s="19" t="s">
        <v>69</v>
      </c>
      <c r="D32" s="20" t="s">
        <v>32</v>
      </c>
      <c r="E32" s="22">
        <v>5136000</v>
      </c>
      <c r="F32" s="22">
        <v>30</v>
      </c>
      <c r="G32" s="22">
        <f t="shared" si="28"/>
        <v>5136000</v>
      </c>
      <c r="H32" s="22"/>
      <c r="I32" s="22"/>
      <c r="J32" s="22"/>
      <c r="K32" s="22">
        <f t="shared" si="0"/>
        <v>5136000</v>
      </c>
      <c r="L32" s="22">
        <f t="shared" si="1"/>
        <v>205440</v>
      </c>
      <c r="M32" s="22">
        <f t="shared" si="6"/>
        <v>256800</v>
      </c>
      <c r="N32" s="22"/>
      <c r="O32" s="22"/>
      <c r="P32" s="22">
        <v>131000</v>
      </c>
      <c r="Q32" s="22"/>
      <c r="R32" s="22">
        <v>122614</v>
      </c>
      <c r="S32" s="22"/>
      <c r="T32" s="22">
        <f t="shared" si="2"/>
        <v>715854</v>
      </c>
      <c r="U32" s="23">
        <f t="shared" ref="U32:U34" si="29">+K32-T32</f>
        <v>4420146</v>
      </c>
      <c r="V32" s="23"/>
      <c r="W32" s="64"/>
      <c r="X32" s="23">
        <f t="shared" si="4"/>
        <v>4420146</v>
      </c>
    </row>
    <row r="33" spans="1:24" x14ac:dyDescent="0.25">
      <c r="A33" s="233"/>
      <c r="B33" s="26">
        <v>30</v>
      </c>
      <c r="C33" s="19" t="s">
        <v>76</v>
      </c>
      <c r="D33" s="20" t="s">
        <v>32</v>
      </c>
      <c r="E33" s="22">
        <v>4000000</v>
      </c>
      <c r="F33" s="22">
        <v>30</v>
      </c>
      <c r="G33" s="22">
        <f t="shared" si="28"/>
        <v>4000000.0000000005</v>
      </c>
      <c r="H33" s="22"/>
      <c r="I33" s="22">
        <v>500000</v>
      </c>
      <c r="J33" s="22"/>
      <c r="K33" s="22">
        <f t="shared" si="0"/>
        <v>4500000</v>
      </c>
      <c r="L33" s="22">
        <f t="shared" si="1"/>
        <v>160000.00000000003</v>
      </c>
      <c r="M33" s="22">
        <f t="shared" si="6"/>
        <v>200000.00000000003</v>
      </c>
      <c r="N33" s="22"/>
      <c r="O33" s="22"/>
      <c r="P33" s="22">
        <v>4458</v>
      </c>
      <c r="Q33" s="22"/>
      <c r="R33" s="22"/>
      <c r="S33" s="22">
        <v>551399</v>
      </c>
      <c r="T33" s="22">
        <f t="shared" si="2"/>
        <v>915857</v>
      </c>
      <c r="U33" s="23">
        <f t="shared" si="29"/>
        <v>3584143</v>
      </c>
      <c r="V33" s="23"/>
      <c r="W33" s="64"/>
      <c r="X33" s="23">
        <f t="shared" si="4"/>
        <v>3584143</v>
      </c>
    </row>
    <row r="34" spans="1:24" x14ac:dyDescent="0.25">
      <c r="A34" s="233"/>
      <c r="B34" s="26">
        <v>31</v>
      </c>
      <c r="C34" s="19" t="s">
        <v>91</v>
      </c>
      <c r="D34" s="20" t="s">
        <v>32</v>
      </c>
      <c r="E34" s="22">
        <v>4500000</v>
      </c>
      <c r="F34" s="22">
        <v>5</v>
      </c>
      <c r="G34" s="22">
        <f t="shared" si="28"/>
        <v>750000</v>
      </c>
      <c r="H34" s="22"/>
      <c r="I34" s="22"/>
      <c r="J34" s="22"/>
      <c r="K34" s="22">
        <f t="shared" si="0"/>
        <v>750000</v>
      </c>
      <c r="L34" s="22">
        <f>+K34*4%</f>
        <v>30000</v>
      </c>
      <c r="M34" s="22">
        <f>+K34*5%</f>
        <v>37500</v>
      </c>
      <c r="N34" s="22"/>
      <c r="O34" s="22"/>
      <c r="P34" s="22"/>
      <c r="Q34" s="22"/>
      <c r="R34" s="22"/>
      <c r="S34" s="22"/>
      <c r="T34" s="22">
        <f t="shared" si="2"/>
        <v>67500</v>
      </c>
      <c r="U34" s="23">
        <f t="shared" si="29"/>
        <v>682500</v>
      </c>
      <c r="V34" s="23"/>
      <c r="W34" s="64"/>
      <c r="X34" s="23">
        <f t="shared" si="4"/>
        <v>682500</v>
      </c>
    </row>
    <row r="35" spans="1:24" x14ac:dyDescent="0.25">
      <c r="A35" s="233"/>
      <c r="B35" s="26">
        <v>32</v>
      </c>
      <c r="C35" s="30" t="s">
        <v>80</v>
      </c>
      <c r="D35" s="26" t="s">
        <v>32</v>
      </c>
      <c r="E35" s="22">
        <v>4815000</v>
      </c>
      <c r="F35" s="22">
        <v>30</v>
      </c>
      <c r="G35" s="22">
        <f t="shared" si="28"/>
        <v>4815000</v>
      </c>
      <c r="H35" s="22"/>
      <c r="I35" s="22"/>
      <c r="J35" s="22"/>
      <c r="K35" s="22">
        <f t="shared" si="0"/>
        <v>4815000</v>
      </c>
      <c r="L35" s="22">
        <f>+E35*4%</f>
        <v>192600</v>
      </c>
      <c r="M35" s="22">
        <f>+E35*5%</f>
        <v>240750</v>
      </c>
      <c r="N35" s="22"/>
      <c r="O35" s="22"/>
      <c r="P35" s="22">
        <v>34627</v>
      </c>
      <c r="Q35" s="22"/>
      <c r="R35" s="22"/>
      <c r="S35" s="22">
        <v>541379</v>
      </c>
      <c r="T35" s="22">
        <f t="shared" si="2"/>
        <v>1009356</v>
      </c>
      <c r="U35" s="23">
        <f>K35-T35</f>
        <v>3805644</v>
      </c>
      <c r="V35" s="23"/>
      <c r="W35" s="64"/>
      <c r="X35" s="23">
        <f t="shared" si="4"/>
        <v>3805644</v>
      </c>
    </row>
    <row r="36" spans="1:24" ht="24" x14ac:dyDescent="0.25">
      <c r="A36" s="233"/>
      <c r="B36" s="26">
        <v>33</v>
      </c>
      <c r="C36" s="19" t="s">
        <v>85</v>
      </c>
      <c r="D36" s="20" t="s">
        <v>32</v>
      </c>
      <c r="E36" s="22">
        <v>6000000</v>
      </c>
      <c r="F36" s="22">
        <v>30</v>
      </c>
      <c r="G36" s="22">
        <f>+E36/30*F36</f>
        <v>6000000</v>
      </c>
      <c r="H36" s="22"/>
      <c r="I36" s="22"/>
      <c r="J36" s="22"/>
      <c r="K36" s="22">
        <f t="shared" ref="K36:K81" si="30">SUM(G36:I36)+J36</f>
        <v>6000000</v>
      </c>
      <c r="L36" s="22">
        <f t="shared" si="1"/>
        <v>240000</v>
      </c>
      <c r="M36" s="22">
        <f>+G36*5%</f>
        <v>300000</v>
      </c>
      <c r="N36" s="22"/>
      <c r="O36" s="22"/>
      <c r="P36" s="22">
        <v>156000</v>
      </c>
      <c r="Q36" s="22"/>
      <c r="R36" s="22"/>
      <c r="S36" s="22"/>
      <c r="T36" s="22">
        <f t="shared" si="2"/>
        <v>696000</v>
      </c>
      <c r="U36" s="23">
        <f>+K36-T36</f>
        <v>5304000</v>
      </c>
      <c r="V36" s="23"/>
      <c r="W36" s="64"/>
      <c r="X36" s="23">
        <f t="shared" si="4"/>
        <v>5304000</v>
      </c>
    </row>
    <row r="37" spans="1:24" x14ac:dyDescent="0.25">
      <c r="A37" s="233"/>
      <c r="B37" s="26">
        <v>34</v>
      </c>
      <c r="C37" s="30" t="s">
        <v>82</v>
      </c>
      <c r="D37" s="26" t="s">
        <v>32</v>
      </c>
      <c r="E37" s="22">
        <v>6900000</v>
      </c>
      <c r="F37" s="22">
        <v>30</v>
      </c>
      <c r="G37" s="22">
        <f t="shared" si="28"/>
        <v>6900000</v>
      </c>
      <c r="H37" s="22"/>
      <c r="I37" s="22">
        <v>1500000</v>
      </c>
      <c r="J37" s="22"/>
      <c r="K37" s="22">
        <f t="shared" si="30"/>
        <v>8400000</v>
      </c>
      <c r="L37" s="22">
        <v>276000</v>
      </c>
      <c r="M37" s="22">
        <v>345000</v>
      </c>
      <c r="N37" s="22"/>
      <c r="O37" s="22"/>
      <c r="P37" s="22">
        <v>345000</v>
      </c>
      <c r="Q37" s="22"/>
      <c r="R37" s="22"/>
      <c r="S37" s="22"/>
      <c r="T37" s="22">
        <f t="shared" si="2"/>
        <v>966000</v>
      </c>
      <c r="U37" s="23">
        <f>K37-T37</f>
        <v>7434000</v>
      </c>
      <c r="V37" s="23"/>
      <c r="W37" s="64"/>
      <c r="X37" s="23">
        <f t="shared" si="4"/>
        <v>7434000</v>
      </c>
    </row>
    <row r="38" spans="1:24" x14ac:dyDescent="0.25">
      <c r="A38" s="233"/>
      <c r="B38" s="26">
        <v>35</v>
      </c>
      <c r="C38" s="30" t="s">
        <v>231</v>
      </c>
      <c r="D38" s="26" t="s">
        <v>32</v>
      </c>
      <c r="E38" s="22">
        <v>5000000</v>
      </c>
      <c r="F38" s="22">
        <v>30</v>
      </c>
      <c r="G38" s="22">
        <f t="shared" si="28"/>
        <v>5000000</v>
      </c>
      <c r="H38" s="22"/>
      <c r="I38" s="22"/>
      <c r="J38" s="22"/>
      <c r="K38" s="22">
        <f t="shared" ref="K38:K39" si="31">SUM(G38:I38)+J38</f>
        <v>5000000</v>
      </c>
      <c r="L38" s="22">
        <v>200000</v>
      </c>
      <c r="M38" s="22"/>
      <c r="N38" s="22"/>
      <c r="O38" s="22"/>
      <c r="P38" s="22">
        <v>175000</v>
      </c>
      <c r="Q38" s="22"/>
      <c r="R38" s="22"/>
      <c r="S38" s="22"/>
      <c r="T38" s="22">
        <f t="shared" ref="T38:T39" si="32">SUM(L38:S38)</f>
        <v>375000</v>
      </c>
      <c r="U38" s="23">
        <f t="shared" ref="U38:U39" si="33">K38-T38</f>
        <v>4625000</v>
      </c>
      <c r="V38" s="23"/>
      <c r="W38" s="64"/>
      <c r="X38" s="23">
        <f t="shared" si="4"/>
        <v>4625000</v>
      </c>
    </row>
    <row r="39" spans="1:24" x14ac:dyDescent="0.25">
      <c r="A39" s="233"/>
      <c r="B39" s="26">
        <v>36</v>
      </c>
      <c r="C39" s="30" t="s">
        <v>232</v>
      </c>
      <c r="D39" s="26" t="s">
        <v>32</v>
      </c>
      <c r="E39" s="22">
        <v>4500000</v>
      </c>
      <c r="F39" s="22">
        <v>30</v>
      </c>
      <c r="G39" s="22">
        <f t="shared" si="28"/>
        <v>4500000</v>
      </c>
      <c r="H39" s="22"/>
      <c r="I39" s="22"/>
      <c r="J39" s="22"/>
      <c r="K39" s="22">
        <f t="shared" si="31"/>
        <v>4500000</v>
      </c>
      <c r="L39" s="22">
        <f>+G39*4%</f>
        <v>180000</v>
      </c>
      <c r="M39" s="22">
        <f>+G39*5%</f>
        <v>225000</v>
      </c>
      <c r="N39" s="22"/>
      <c r="O39" s="22"/>
      <c r="P39" s="22">
        <v>72000</v>
      </c>
      <c r="Q39" s="22"/>
      <c r="R39" s="22"/>
      <c r="S39" s="22"/>
      <c r="T39" s="22">
        <f t="shared" si="32"/>
        <v>477000</v>
      </c>
      <c r="U39" s="23">
        <f t="shared" si="33"/>
        <v>4023000</v>
      </c>
      <c r="V39" s="23"/>
      <c r="W39" s="64"/>
      <c r="X39" s="23">
        <f t="shared" si="4"/>
        <v>4023000</v>
      </c>
    </row>
    <row r="40" spans="1:24" x14ac:dyDescent="0.25">
      <c r="A40" s="233"/>
      <c r="B40" s="26">
        <v>37</v>
      </c>
      <c r="C40" s="19" t="s">
        <v>92</v>
      </c>
      <c r="D40" s="20" t="s">
        <v>32</v>
      </c>
      <c r="E40" s="22">
        <v>5000000</v>
      </c>
      <c r="F40" s="22">
        <v>30</v>
      </c>
      <c r="G40" s="22">
        <f t="shared" si="28"/>
        <v>5000000</v>
      </c>
      <c r="H40" s="22"/>
      <c r="I40" s="22"/>
      <c r="J40" s="22"/>
      <c r="K40" s="22">
        <f t="shared" si="30"/>
        <v>5000000</v>
      </c>
      <c r="L40" s="22">
        <f t="shared" si="1"/>
        <v>200000</v>
      </c>
      <c r="M40" s="22">
        <f t="shared" si="6"/>
        <v>250000</v>
      </c>
      <c r="N40" s="22"/>
      <c r="O40" s="22"/>
      <c r="P40" s="22">
        <v>139833</v>
      </c>
      <c r="Q40" s="22"/>
      <c r="R40" s="22"/>
      <c r="S40" s="22"/>
      <c r="T40" s="22">
        <f>SUM(L40:S40)</f>
        <v>589833</v>
      </c>
      <c r="U40" s="23">
        <f t="shared" ref="U40:U46" si="34">+K40-T40</f>
        <v>4410167</v>
      </c>
      <c r="V40" s="23"/>
      <c r="W40" s="64"/>
      <c r="X40" s="23">
        <f t="shared" si="4"/>
        <v>4410167</v>
      </c>
    </row>
    <row r="41" spans="1:24" x14ac:dyDescent="0.25">
      <c r="A41" s="233"/>
      <c r="B41" s="26">
        <v>38</v>
      </c>
      <c r="C41" s="19" t="s">
        <v>78</v>
      </c>
      <c r="D41" s="20" t="s">
        <v>32</v>
      </c>
      <c r="E41" s="22">
        <v>4000000</v>
      </c>
      <c r="F41" s="22">
        <v>30</v>
      </c>
      <c r="G41" s="22">
        <f t="shared" si="28"/>
        <v>4000000.0000000005</v>
      </c>
      <c r="H41" s="22"/>
      <c r="I41" s="22"/>
      <c r="J41" s="22">
        <f>+E41-G41</f>
        <v>0</v>
      </c>
      <c r="K41" s="22">
        <f t="shared" si="30"/>
        <v>4000000.0000000005</v>
      </c>
      <c r="L41" s="22">
        <f>+E41*4%</f>
        <v>160000</v>
      </c>
      <c r="M41" s="22">
        <f>+E41*5%</f>
        <v>200000</v>
      </c>
      <c r="N41" s="22"/>
      <c r="O41" s="22"/>
      <c r="P41" s="22">
        <v>0</v>
      </c>
      <c r="Q41" s="22"/>
      <c r="R41" s="22">
        <v>1000000</v>
      </c>
      <c r="T41" s="22">
        <f>SUM(L41:S41)</f>
        <v>1360000</v>
      </c>
      <c r="U41" s="23">
        <f t="shared" si="34"/>
        <v>2640000.0000000005</v>
      </c>
      <c r="V41" s="23"/>
      <c r="W41" s="64"/>
      <c r="X41" s="23">
        <f t="shared" si="4"/>
        <v>2640000.0000000005</v>
      </c>
    </row>
    <row r="42" spans="1:24" ht="24" x14ac:dyDescent="0.25">
      <c r="A42" s="233"/>
      <c r="B42" s="26">
        <v>39</v>
      </c>
      <c r="C42" s="19" t="s">
        <v>236</v>
      </c>
      <c r="D42" s="20"/>
      <c r="E42" s="22">
        <v>6000000</v>
      </c>
      <c r="F42" s="22">
        <v>16</v>
      </c>
      <c r="G42" s="22">
        <f t="shared" si="28"/>
        <v>3200000</v>
      </c>
      <c r="H42" s="22"/>
      <c r="I42" s="22"/>
      <c r="J42" s="22">
        <v>266667</v>
      </c>
      <c r="K42" s="22">
        <f t="shared" ref="K42" si="35">SUM(G42:I42)+J42</f>
        <v>3466667</v>
      </c>
      <c r="L42" s="22">
        <f>+G42*4%</f>
        <v>128000</v>
      </c>
      <c r="M42" s="22">
        <f>+G42*5%</f>
        <v>160000</v>
      </c>
      <c r="N42" s="22"/>
      <c r="O42" s="22"/>
      <c r="P42" s="22">
        <v>90000</v>
      </c>
      <c r="Q42" s="22"/>
      <c r="R42" s="22"/>
      <c r="T42" s="22">
        <f>SUM(L42:S42)</f>
        <v>378000</v>
      </c>
      <c r="U42" s="23">
        <f t="shared" si="34"/>
        <v>3088667</v>
      </c>
      <c r="V42" s="23"/>
      <c r="W42" s="64"/>
      <c r="X42" s="23"/>
    </row>
    <row r="43" spans="1:24" ht="26.25" customHeight="1" x14ac:dyDescent="0.25">
      <c r="A43" s="233"/>
      <c r="B43" s="26">
        <v>40</v>
      </c>
      <c r="C43" s="19" t="s">
        <v>193</v>
      </c>
      <c r="D43" s="20" t="s">
        <v>32</v>
      </c>
      <c r="E43" s="22">
        <v>4250000</v>
      </c>
      <c r="F43" s="22">
        <v>30</v>
      </c>
      <c r="G43" s="22">
        <f t="shared" si="28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4"/>
        <v>3829500</v>
      </c>
      <c r="V43" s="23"/>
      <c r="W43" s="64"/>
      <c r="X43" s="23">
        <f t="shared" ref="X43" si="38">U43+V43-W43</f>
        <v>3829500</v>
      </c>
    </row>
    <row r="44" spans="1:24" ht="26.25" customHeight="1" x14ac:dyDescent="0.25">
      <c r="A44" s="233"/>
      <c r="B44" s="26">
        <v>41</v>
      </c>
      <c r="C44" s="19" t="s">
        <v>237</v>
      </c>
      <c r="D44" s="20"/>
      <c r="E44" s="22">
        <v>4000000</v>
      </c>
      <c r="F44" s="22">
        <v>30</v>
      </c>
      <c r="G44" s="22">
        <f t="shared" si="28"/>
        <v>4000000.0000000005</v>
      </c>
      <c r="H44" s="22"/>
      <c r="I44" s="22"/>
      <c r="J44" s="22"/>
      <c r="K44" s="22">
        <f t="shared" ref="K44" si="39">SUM(G44:I44)+J44</f>
        <v>4000000.0000000005</v>
      </c>
      <c r="L44" s="22">
        <f>+G44*4%</f>
        <v>160000.00000000003</v>
      </c>
      <c r="M44" s="22">
        <f>+G44*5%</f>
        <v>200000.00000000003</v>
      </c>
      <c r="N44" s="22"/>
      <c r="O44" s="22"/>
      <c r="P44" s="22">
        <v>4500</v>
      </c>
      <c r="Q44" s="22"/>
      <c r="R44" s="22"/>
      <c r="S44" s="22"/>
      <c r="T44" s="22">
        <f t="shared" ref="T44" si="40">SUM(L44:S44)</f>
        <v>364500.00000000006</v>
      </c>
      <c r="U44" s="23">
        <f t="shared" si="34"/>
        <v>3635500.0000000005</v>
      </c>
      <c r="V44" s="23"/>
      <c r="W44" s="64"/>
      <c r="X44" s="23"/>
    </row>
    <row r="45" spans="1:24" ht="24" x14ac:dyDescent="0.25">
      <c r="A45" s="233"/>
      <c r="B45" s="26">
        <v>42</v>
      </c>
      <c r="C45" s="19" t="s">
        <v>89</v>
      </c>
      <c r="D45" s="20" t="s">
        <v>32</v>
      </c>
      <c r="E45" s="22">
        <v>3000000</v>
      </c>
      <c r="F45" s="22">
        <v>25</v>
      </c>
      <c r="G45" s="22">
        <f t="shared" si="28"/>
        <v>2500000</v>
      </c>
      <c r="H45" s="22"/>
      <c r="I45" s="22"/>
      <c r="J45" s="22">
        <v>700000</v>
      </c>
      <c r="K45" s="22">
        <f t="shared" si="30"/>
        <v>3200000</v>
      </c>
      <c r="L45" s="22">
        <f>+K45*4%</f>
        <v>128000</v>
      </c>
      <c r="M45" s="22">
        <f>+K45*5%</f>
        <v>160000</v>
      </c>
      <c r="N45" s="22"/>
      <c r="O45" s="22"/>
      <c r="P45" s="22"/>
      <c r="Q45" s="22"/>
      <c r="R45" s="22"/>
      <c r="S45" s="22"/>
      <c r="T45" s="22">
        <f t="shared" si="2"/>
        <v>288000</v>
      </c>
      <c r="U45" s="23">
        <f t="shared" si="34"/>
        <v>2912000</v>
      </c>
      <c r="V45" s="23"/>
      <c r="W45" s="64"/>
      <c r="X45" s="23">
        <f t="shared" si="4"/>
        <v>2912000</v>
      </c>
    </row>
    <row r="46" spans="1:24" x14ac:dyDescent="0.25">
      <c r="A46" s="233"/>
      <c r="B46" s="26">
        <v>43</v>
      </c>
      <c r="C46" s="19" t="s">
        <v>90</v>
      </c>
      <c r="D46" s="20" t="s">
        <v>32</v>
      </c>
      <c r="E46" s="22">
        <v>4500000</v>
      </c>
      <c r="F46" s="22">
        <v>30</v>
      </c>
      <c r="G46" s="22">
        <f t="shared" si="28"/>
        <v>4500000</v>
      </c>
      <c r="H46" s="22"/>
      <c r="I46" s="22">
        <v>800000</v>
      </c>
      <c r="J46" s="22"/>
      <c r="K46" s="22">
        <f t="shared" si="30"/>
        <v>5300000</v>
      </c>
      <c r="L46" s="22">
        <f t="shared" si="1"/>
        <v>180000</v>
      </c>
      <c r="M46" s="22">
        <f>+G46*5%</f>
        <v>225000</v>
      </c>
      <c r="N46" s="22"/>
      <c r="O46" s="22"/>
      <c r="P46" s="22">
        <v>8021</v>
      </c>
      <c r="Q46" s="22"/>
      <c r="R46" s="22"/>
      <c r="S46" s="22"/>
      <c r="T46" s="22">
        <f t="shared" si="2"/>
        <v>413021</v>
      </c>
      <c r="U46" s="23">
        <f t="shared" si="34"/>
        <v>4886979</v>
      </c>
      <c r="V46" s="23"/>
      <c r="W46" s="64"/>
      <c r="X46" s="23">
        <f t="shared" si="4"/>
        <v>4886979</v>
      </c>
    </row>
    <row r="47" spans="1:24" ht="30.75" customHeight="1" x14ac:dyDescent="0.25">
      <c r="A47" s="233"/>
      <c r="B47" s="26">
        <v>44</v>
      </c>
      <c r="C47" s="19" t="s">
        <v>94</v>
      </c>
      <c r="D47" s="20" t="s">
        <v>32</v>
      </c>
      <c r="E47" s="22">
        <v>4815000</v>
      </c>
      <c r="F47" s="22">
        <v>30</v>
      </c>
      <c r="G47" s="22">
        <f t="shared" si="28"/>
        <v>4815000</v>
      </c>
      <c r="H47" s="22"/>
      <c r="I47" s="22">
        <v>350000</v>
      </c>
      <c r="J47" s="22">
        <f>+E47-G47</f>
        <v>0</v>
      </c>
      <c r="K47" s="22">
        <f t="shared" si="30"/>
        <v>5165000</v>
      </c>
      <c r="L47" s="22">
        <v>192600</v>
      </c>
      <c r="M47" s="22">
        <v>240750</v>
      </c>
      <c r="N47" s="22"/>
      <c r="O47" s="22"/>
      <c r="P47" s="22">
        <v>89000</v>
      </c>
      <c r="Q47" s="22"/>
      <c r="R47" s="22"/>
      <c r="S47" s="22"/>
      <c r="T47" s="22">
        <f t="shared" si="2"/>
        <v>522350</v>
      </c>
      <c r="U47" s="23">
        <f>K47-T47</f>
        <v>4642650</v>
      </c>
      <c r="V47" s="23"/>
      <c r="W47" s="64"/>
      <c r="X47" s="23">
        <f t="shared" si="4"/>
        <v>4642650</v>
      </c>
    </row>
    <row r="48" spans="1:24" x14ac:dyDescent="0.25">
      <c r="A48" s="233"/>
      <c r="B48" s="26">
        <v>45</v>
      </c>
      <c r="C48" s="19" t="s">
        <v>96</v>
      </c>
      <c r="D48" s="20" t="s">
        <v>32</v>
      </c>
      <c r="E48" s="22">
        <v>6900000</v>
      </c>
      <c r="F48" s="22">
        <v>30</v>
      </c>
      <c r="G48" s="22">
        <f t="shared" si="28"/>
        <v>6900000</v>
      </c>
      <c r="H48" s="22"/>
      <c r="I48" s="22"/>
      <c r="J48" s="22"/>
      <c r="K48" s="22">
        <f t="shared" si="30"/>
        <v>6900000</v>
      </c>
      <c r="L48" s="22">
        <v>276000</v>
      </c>
      <c r="M48" s="22">
        <v>345000</v>
      </c>
      <c r="N48" s="22"/>
      <c r="O48" s="22"/>
      <c r="P48" s="22">
        <v>219000</v>
      </c>
      <c r="Q48" s="22"/>
      <c r="R48" s="22"/>
      <c r="S48" s="22"/>
      <c r="T48" s="22">
        <f t="shared" si="2"/>
        <v>840000</v>
      </c>
      <c r="U48" s="23">
        <f>K48-T48</f>
        <v>6060000</v>
      </c>
      <c r="V48" s="23"/>
      <c r="W48" s="64"/>
      <c r="X48" s="23">
        <f t="shared" si="4"/>
        <v>6060000</v>
      </c>
    </row>
    <row r="49" spans="1:24" x14ac:dyDescent="0.25">
      <c r="A49" s="234"/>
      <c r="B49" s="26">
        <v>46</v>
      </c>
      <c r="C49" s="19" t="s">
        <v>98</v>
      </c>
      <c r="D49" s="20" t="s">
        <v>32</v>
      </c>
      <c r="E49" s="22">
        <v>4000000</v>
      </c>
      <c r="F49" s="22">
        <v>30</v>
      </c>
      <c r="G49" s="22">
        <f t="shared" si="28"/>
        <v>4000000.0000000005</v>
      </c>
      <c r="H49" s="22"/>
      <c r="I49" s="22"/>
      <c r="J49" s="22"/>
      <c r="K49" s="22">
        <f t="shared" si="30"/>
        <v>4000000.0000000005</v>
      </c>
      <c r="L49" s="22">
        <v>160000</v>
      </c>
      <c r="M49" s="22">
        <v>200000</v>
      </c>
      <c r="N49" s="22"/>
      <c r="O49" s="22"/>
      <c r="P49" s="22">
        <v>31000</v>
      </c>
      <c r="Q49" s="22"/>
      <c r="R49" s="22"/>
      <c r="S49" s="22"/>
      <c r="T49" s="22">
        <f t="shared" si="2"/>
        <v>391000</v>
      </c>
      <c r="U49" s="23">
        <f>K49-T49</f>
        <v>3609000.0000000005</v>
      </c>
      <c r="V49" s="23"/>
      <c r="W49" s="64"/>
      <c r="X49" s="23">
        <f t="shared" si="4"/>
        <v>3609000.0000000005</v>
      </c>
    </row>
    <row r="50" spans="1:24" x14ac:dyDescent="0.25">
      <c r="A50" s="232" t="s">
        <v>99</v>
      </c>
      <c r="B50" s="26">
        <v>1</v>
      </c>
      <c r="C50" s="19" t="s">
        <v>233</v>
      </c>
      <c r="D50" s="20" t="s">
        <v>32</v>
      </c>
      <c r="E50" s="22">
        <v>3000000</v>
      </c>
      <c r="F50" s="22">
        <v>30</v>
      </c>
      <c r="G50" s="22">
        <f t="shared" si="28"/>
        <v>3000000</v>
      </c>
      <c r="H50" s="22"/>
      <c r="I50" s="22"/>
      <c r="J50" s="22"/>
      <c r="K50" s="22">
        <f t="shared" si="30"/>
        <v>3000000</v>
      </c>
      <c r="L50" s="22">
        <v>120000</v>
      </c>
      <c r="M50" s="22">
        <v>150000</v>
      </c>
      <c r="N50" s="22"/>
      <c r="O50" s="22"/>
      <c r="P50" s="22"/>
      <c r="Q50" s="22"/>
      <c r="R50" s="22"/>
      <c r="S50" s="22"/>
      <c r="T50" s="22">
        <f t="shared" si="2"/>
        <v>270000</v>
      </c>
      <c r="U50" s="23">
        <f>K50-T50</f>
        <v>2730000</v>
      </c>
      <c r="V50" s="23"/>
      <c r="W50" s="64"/>
      <c r="X50" s="23">
        <f t="shared" si="4"/>
        <v>2730000</v>
      </c>
    </row>
    <row r="51" spans="1:24" ht="24" customHeight="1" x14ac:dyDescent="0.25">
      <c r="A51" s="233"/>
      <c r="B51" s="26">
        <v>2</v>
      </c>
      <c r="C51" s="19" t="s">
        <v>100</v>
      </c>
      <c r="D51" s="20" t="s">
        <v>32</v>
      </c>
      <c r="E51" s="22">
        <v>3000000</v>
      </c>
      <c r="F51" s="22">
        <v>30</v>
      </c>
      <c r="G51" s="22">
        <f t="shared" si="28"/>
        <v>3000000</v>
      </c>
      <c r="H51" s="22"/>
      <c r="I51" s="22">
        <v>250000</v>
      </c>
      <c r="J51" s="22"/>
      <c r="K51" s="22">
        <f t="shared" si="30"/>
        <v>3250000</v>
      </c>
      <c r="L51" s="22">
        <v>120000</v>
      </c>
      <c r="M51" s="22">
        <v>150000</v>
      </c>
      <c r="N51" s="22"/>
      <c r="O51" s="22"/>
      <c r="P51" s="25">
        <v>0</v>
      </c>
      <c r="Q51" s="22"/>
      <c r="R51" s="22">
        <v>163485</v>
      </c>
      <c r="S51" s="22"/>
      <c r="T51" s="22">
        <f t="shared" si="2"/>
        <v>433485</v>
      </c>
      <c r="U51" s="23">
        <f>+K51-T51</f>
        <v>2816515</v>
      </c>
      <c r="V51" s="23"/>
      <c r="W51" s="64"/>
      <c r="X51" s="23">
        <f t="shared" si="4"/>
        <v>2816515</v>
      </c>
    </row>
    <row r="52" spans="1:24" ht="25.5" customHeight="1" x14ac:dyDescent="0.25">
      <c r="A52" s="233"/>
      <c r="B52" s="26">
        <v>3</v>
      </c>
      <c r="C52" s="19" t="s">
        <v>103</v>
      </c>
      <c r="D52" s="20" t="s">
        <v>32</v>
      </c>
      <c r="E52" s="22">
        <v>689455</v>
      </c>
      <c r="F52" s="22">
        <v>30</v>
      </c>
      <c r="G52" s="22">
        <f>+E52/30*F52</f>
        <v>689455</v>
      </c>
      <c r="H52" s="22"/>
      <c r="I52" s="22">
        <v>200000</v>
      </c>
      <c r="J52" s="22"/>
      <c r="K52" s="22">
        <f t="shared" si="30"/>
        <v>889455</v>
      </c>
      <c r="L52" s="22"/>
      <c r="M52" s="22"/>
      <c r="N52" s="22"/>
      <c r="O52" s="22"/>
      <c r="P52" s="25"/>
      <c r="Q52" s="22"/>
      <c r="R52" s="22"/>
      <c r="S52" s="22"/>
      <c r="T52" s="22">
        <f t="shared" si="2"/>
        <v>0</v>
      </c>
      <c r="U52" s="23">
        <f>+K52-T52</f>
        <v>889455</v>
      </c>
      <c r="V52" s="23"/>
      <c r="W52" s="64"/>
      <c r="X52" s="23">
        <f t="shared" si="4"/>
        <v>889455</v>
      </c>
    </row>
    <row r="53" spans="1:24" x14ac:dyDescent="0.25">
      <c r="A53" s="233"/>
      <c r="B53" s="26">
        <v>4</v>
      </c>
      <c r="C53" s="30" t="s">
        <v>180</v>
      </c>
      <c r="D53" s="26" t="s">
        <v>32</v>
      </c>
      <c r="E53" s="22">
        <v>1200000</v>
      </c>
      <c r="F53" s="22">
        <v>30</v>
      </c>
      <c r="G53" s="22">
        <v>1000000</v>
      </c>
      <c r="H53" s="22">
        <f>+(77700/30)*F53</f>
        <v>77700</v>
      </c>
      <c r="I53" s="22"/>
      <c r="J53" s="22">
        <v>280000</v>
      </c>
      <c r="K53" s="22">
        <f t="shared" ref="K53" si="41">SUM(G53:I53)+J53</f>
        <v>1357700</v>
      </c>
      <c r="L53" s="22">
        <v>51200</v>
      </c>
      <c r="M53" s="22">
        <v>51200</v>
      </c>
      <c r="N53" s="22"/>
      <c r="O53" s="22"/>
      <c r="P53" s="22"/>
      <c r="Q53" s="22"/>
      <c r="R53" s="22"/>
      <c r="S53" s="22"/>
      <c r="T53" s="22">
        <f t="shared" si="2"/>
        <v>102400</v>
      </c>
      <c r="U53" s="23">
        <f>K53-T53</f>
        <v>1255300</v>
      </c>
      <c r="V53" s="23"/>
      <c r="W53" s="64"/>
      <c r="X53" s="23">
        <f t="shared" si="4"/>
        <v>1255300</v>
      </c>
    </row>
    <row r="54" spans="1:24" ht="18" customHeight="1" x14ac:dyDescent="0.25">
      <c r="A54" s="233"/>
      <c r="B54" s="26">
        <v>5</v>
      </c>
      <c r="C54" s="19" t="s">
        <v>102</v>
      </c>
      <c r="D54" s="20" t="s">
        <v>32</v>
      </c>
      <c r="E54" s="22">
        <v>689455</v>
      </c>
      <c r="F54" s="22">
        <v>30</v>
      </c>
      <c r="G54" s="22">
        <f t="shared" si="28"/>
        <v>689455</v>
      </c>
      <c r="H54" s="22">
        <v>77700</v>
      </c>
      <c r="I54" s="22"/>
      <c r="J54" s="22"/>
      <c r="K54" s="22">
        <f t="shared" si="30"/>
        <v>767155</v>
      </c>
      <c r="L54" s="22">
        <f t="shared" ref="L54" si="42">+G54*4%</f>
        <v>27578.2</v>
      </c>
      <c r="M54" s="22">
        <f>+G54*4%</f>
        <v>27578.2</v>
      </c>
      <c r="N54" s="22"/>
      <c r="O54" s="22"/>
      <c r="P54" s="25"/>
      <c r="Q54" s="22"/>
      <c r="R54" s="22"/>
      <c r="S54" s="22"/>
      <c r="T54" s="22">
        <f t="shared" ref="T54:T108" si="43">SUM(L54:S54)</f>
        <v>55156.4</v>
      </c>
      <c r="U54" s="23">
        <f>+K54-T54</f>
        <v>711998.6</v>
      </c>
      <c r="V54" s="23"/>
      <c r="W54" s="64"/>
      <c r="X54" s="23">
        <f t="shared" si="4"/>
        <v>711998.6</v>
      </c>
    </row>
    <row r="55" spans="1:24" x14ac:dyDescent="0.25">
      <c r="A55" s="233"/>
      <c r="B55" s="26">
        <v>6</v>
      </c>
      <c r="C55" s="30" t="s">
        <v>181</v>
      </c>
      <c r="D55" s="26" t="s">
        <v>32</v>
      </c>
      <c r="E55" s="22">
        <v>1200000</v>
      </c>
      <c r="F55" s="22">
        <v>30</v>
      </c>
      <c r="G55" s="22">
        <v>1000000</v>
      </c>
      <c r="H55" s="22">
        <f>+(77700/30)*F55</f>
        <v>77700</v>
      </c>
      <c r="I55" s="22"/>
      <c r="J55" s="22">
        <v>280000</v>
      </c>
      <c r="K55" s="22">
        <f t="shared" ref="K55" si="44">SUM(G55:I55)+J55</f>
        <v>1357700</v>
      </c>
      <c r="L55" s="22">
        <v>51200</v>
      </c>
      <c r="M55" s="22">
        <v>51200</v>
      </c>
      <c r="N55" s="22"/>
      <c r="O55" s="22"/>
      <c r="P55" s="22"/>
      <c r="Q55" s="22"/>
      <c r="R55" s="22"/>
      <c r="S55" s="22"/>
      <c r="T55" s="22">
        <f t="shared" si="43"/>
        <v>102400</v>
      </c>
      <c r="U55" s="23">
        <f>K55-T55</f>
        <v>1255300</v>
      </c>
      <c r="V55" s="23"/>
      <c r="W55" s="64"/>
      <c r="X55" s="23">
        <f t="shared" si="4"/>
        <v>1255300</v>
      </c>
    </row>
    <row r="56" spans="1:24" x14ac:dyDescent="0.25">
      <c r="A56" s="233"/>
      <c r="B56" s="26">
        <v>7</v>
      </c>
      <c r="C56" s="19" t="s">
        <v>104</v>
      </c>
      <c r="D56" s="20" t="s">
        <v>105</v>
      </c>
      <c r="E56" s="22">
        <v>1100000</v>
      </c>
      <c r="F56" s="22">
        <v>30</v>
      </c>
      <c r="G56" s="22">
        <f>+E56/30*F56</f>
        <v>1100000</v>
      </c>
      <c r="H56" s="22">
        <v>77700</v>
      </c>
      <c r="I56" s="22"/>
      <c r="J56" s="22"/>
      <c r="K56" s="22">
        <f t="shared" si="30"/>
        <v>1177700</v>
      </c>
      <c r="L56" s="22">
        <v>44000</v>
      </c>
      <c r="M56" s="22">
        <v>44000</v>
      </c>
      <c r="N56" s="22"/>
      <c r="O56" s="22"/>
      <c r="P56" s="25"/>
      <c r="Q56" s="22"/>
      <c r="R56" s="22"/>
      <c r="S56" s="22"/>
      <c r="T56" s="22">
        <f>SUM(L56:S56)</f>
        <v>88000</v>
      </c>
      <c r="U56" s="23">
        <f>+K56-T56</f>
        <v>1089700</v>
      </c>
      <c r="V56" s="23"/>
      <c r="W56" s="64"/>
      <c r="X56" s="23">
        <f t="shared" si="4"/>
        <v>1089700</v>
      </c>
    </row>
    <row r="57" spans="1:24" ht="24" x14ac:dyDescent="0.25">
      <c r="A57" s="233"/>
      <c r="B57" s="26">
        <v>8</v>
      </c>
      <c r="C57" s="19" t="s">
        <v>212</v>
      </c>
      <c r="D57" s="20" t="s">
        <v>32</v>
      </c>
      <c r="E57" s="22">
        <v>1100000</v>
      </c>
      <c r="F57" s="22">
        <v>30</v>
      </c>
      <c r="G57" s="22">
        <f t="shared" ref="G57" si="45">+E57/30*F57</f>
        <v>1100000</v>
      </c>
      <c r="H57" s="22">
        <v>77700</v>
      </c>
      <c r="I57" s="22"/>
      <c r="J57" s="22"/>
      <c r="K57" s="22">
        <f t="shared" ref="K57" si="46">SUM(G57:I57)+J57</f>
        <v>1177700</v>
      </c>
      <c r="L57" s="22">
        <f t="shared" ref="L57" si="47">+G57*4%</f>
        <v>44000</v>
      </c>
      <c r="M57" s="22">
        <f t="shared" ref="M57" si="48">+G57*4%</f>
        <v>44000</v>
      </c>
      <c r="N57" s="22"/>
      <c r="O57" s="22"/>
      <c r="P57" s="25"/>
      <c r="Q57" s="22"/>
      <c r="R57" s="22"/>
      <c r="S57" s="22"/>
      <c r="T57" s="22">
        <f t="shared" ref="T57" si="49">SUM(L57:S57)</f>
        <v>88000</v>
      </c>
      <c r="U57" s="23">
        <f t="shared" ref="U57:U64" si="50">+K57-T57</f>
        <v>1089700</v>
      </c>
      <c r="V57" s="23"/>
      <c r="W57" s="64"/>
      <c r="X57" s="23">
        <f t="shared" si="4"/>
        <v>1089700</v>
      </c>
    </row>
    <row r="58" spans="1:24" ht="21.75" customHeight="1" x14ac:dyDescent="0.25">
      <c r="A58" s="233"/>
      <c r="B58" s="26">
        <v>9</v>
      </c>
      <c r="C58" s="19" t="s">
        <v>106</v>
      </c>
      <c r="D58" s="20" t="s">
        <v>32</v>
      </c>
      <c r="E58" s="22">
        <v>1100000</v>
      </c>
      <c r="F58" s="22">
        <v>30</v>
      </c>
      <c r="G58" s="22">
        <v>990000</v>
      </c>
      <c r="H58" s="22">
        <v>77700</v>
      </c>
      <c r="I58" s="22">
        <v>500000</v>
      </c>
      <c r="J58" s="22">
        <v>623333</v>
      </c>
      <c r="K58" s="22">
        <f t="shared" si="30"/>
        <v>2191033</v>
      </c>
      <c r="L58" s="22">
        <v>61600</v>
      </c>
      <c r="M58" s="22">
        <v>61600</v>
      </c>
      <c r="N58" s="22"/>
      <c r="O58" s="22"/>
      <c r="P58" s="22">
        <v>0</v>
      </c>
      <c r="Q58" s="22"/>
      <c r="R58" s="22"/>
      <c r="S58" s="22"/>
      <c r="T58" s="22">
        <f t="shared" si="43"/>
        <v>123200</v>
      </c>
      <c r="U58" s="23">
        <f t="shared" si="50"/>
        <v>2067833</v>
      </c>
      <c r="V58" s="23"/>
      <c r="W58" s="64"/>
      <c r="X58" s="23">
        <f t="shared" si="4"/>
        <v>2067833</v>
      </c>
    </row>
    <row r="59" spans="1:24" x14ac:dyDescent="0.25">
      <c r="A59" s="233"/>
      <c r="B59" s="26">
        <v>10</v>
      </c>
      <c r="C59" s="19" t="s">
        <v>182</v>
      </c>
      <c r="D59" s="20" t="s">
        <v>32</v>
      </c>
      <c r="E59" s="22">
        <v>689454</v>
      </c>
      <c r="F59" s="22">
        <v>30</v>
      </c>
      <c r="G59" s="22">
        <f t="shared" ref="G59" si="51">+E59/30*F59</f>
        <v>689454</v>
      </c>
      <c r="H59" s="22">
        <v>77700</v>
      </c>
      <c r="I59" s="22"/>
      <c r="J59" s="22"/>
      <c r="K59" s="22">
        <f t="shared" ref="K59" si="52">SUM(G59:I59)+J59</f>
        <v>767154</v>
      </c>
      <c r="L59" s="22">
        <f t="shared" ref="L59:L60" si="53">+G59*4%</f>
        <v>27578.16</v>
      </c>
      <c r="M59" s="22">
        <f t="shared" ref="M59" si="54">+G59*4%</f>
        <v>27578.16</v>
      </c>
      <c r="N59" s="22"/>
      <c r="O59" s="22"/>
      <c r="P59" s="25"/>
      <c r="Q59" s="22"/>
      <c r="R59" s="22"/>
      <c r="S59" s="22"/>
      <c r="T59" s="22">
        <f t="shared" si="43"/>
        <v>55156.32</v>
      </c>
      <c r="U59" s="23">
        <f t="shared" si="50"/>
        <v>711997.68</v>
      </c>
      <c r="V59" s="23"/>
      <c r="W59" s="64"/>
      <c r="X59" s="23">
        <f t="shared" si="4"/>
        <v>711997.68</v>
      </c>
    </row>
    <row r="60" spans="1:24" ht="17.25" customHeight="1" x14ac:dyDescent="0.25">
      <c r="A60" s="233"/>
      <c r="B60" s="26">
        <v>11</v>
      </c>
      <c r="C60" s="19" t="s">
        <v>195</v>
      </c>
      <c r="D60" s="20" t="s">
        <v>32</v>
      </c>
      <c r="E60" s="22">
        <v>3500000</v>
      </c>
      <c r="F60" s="22">
        <v>30</v>
      </c>
      <c r="G60" s="22">
        <f>(E60/30*F60)</f>
        <v>3500000</v>
      </c>
      <c r="H60" s="22"/>
      <c r="I60" s="22">
        <v>500000</v>
      </c>
      <c r="J60" s="22"/>
      <c r="K60" s="22">
        <f t="shared" ref="K60" si="55">SUM(G60:I60)+J60</f>
        <v>4000000</v>
      </c>
      <c r="L60" s="22">
        <f t="shared" si="53"/>
        <v>140000</v>
      </c>
      <c r="M60" s="22">
        <f>+G60*5%</f>
        <v>175000</v>
      </c>
      <c r="N60" s="22"/>
      <c r="O60" s="22"/>
      <c r="P60" s="22">
        <v>0</v>
      </c>
      <c r="Q60" s="22"/>
      <c r="R60" s="22"/>
      <c r="S60" s="22"/>
      <c r="T60" s="22">
        <f t="shared" ref="T60" si="56">SUM(L60:S60)</f>
        <v>315000</v>
      </c>
      <c r="U60" s="23">
        <f t="shared" si="50"/>
        <v>3685000</v>
      </c>
      <c r="V60" s="23"/>
      <c r="W60" s="64"/>
      <c r="X60" s="23">
        <f t="shared" si="4"/>
        <v>3685000</v>
      </c>
    </row>
    <row r="61" spans="1:24" ht="17.25" customHeight="1" x14ac:dyDescent="0.25">
      <c r="A61" s="233"/>
      <c r="B61" s="26">
        <v>12</v>
      </c>
      <c r="C61" s="19" t="s">
        <v>107</v>
      </c>
      <c r="D61" s="20" t="s">
        <v>32</v>
      </c>
      <c r="E61" s="22">
        <v>1500000</v>
      </c>
      <c r="F61" s="22">
        <v>30</v>
      </c>
      <c r="G61" s="22">
        <v>1450000</v>
      </c>
      <c r="H61" s="22"/>
      <c r="I61" s="22"/>
      <c r="J61" s="22">
        <v>150000</v>
      </c>
      <c r="K61" s="22">
        <f t="shared" si="30"/>
        <v>1600000</v>
      </c>
      <c r="L61" s="22">
        <v>64000</v>
      </c>
      <c r="M61" s="22">
        <v>64000</v>
      </c>
      <c r="N61" s="22"/>
      <c r="O61" s="22"/>
      <c r="P61" s="22">
        <v>0</v>
      </c>
      <c r="Q61" s="22"/>
      <c r="R61" s="22"/>
      <c r="S61" s="22">
        <v>200210</v>
      </c>
      <c r="T61" s="22">
        <f t="shared" si="43"/>
        <v>328210</v>
      </c>
      <c r="U61" s="23">
        <f t="shared" si="50"/>
        <v>1271790</v>
      </c>
      <c r="V61" s="23"/>
      <c r="W61" s="64"/>
      <c r="X61" s="23">
        <f t="shared" si="4"/>
        <v>1271790</v>
      </c>
    </row>
    <row r="62" spans="1:24" ht="17.25" customHeight="1" x14ac:dyDescent="0.25">
      <c r="A62" s="233"/>
      <c r="B62" s="26">
        <v>13</v>
      </c>
      <c r="C62" s="19" t="s">
        <v>201</v>
      </c>
      <c r="D62" s="20" t="s">
        <v>32</v>
      </c>
      <c r="E62" s="22">
        <v>1000000</v>
      </c>
      <c r="F62" s="22">
        <v>30</v>
      </c>
      <c r="G62" s="22">
        <f>E62/30*F62</f>
        <v>1000000.0000000001</v>
      </c>
      <c r="H62" s="22">
        <f>+(77700/30)*30</f>
        <v>77700</v>
      </c>
      <c r="I62" s="22">
        <v>500000</v>
      </c>
      <c r="J62" s="22"/>
      <c r="K62" s="22">
        <f t="shared" ref="K62" si="57">SUM(G62:I62)+J62</f>
        <v>1577700</v>
      </c>
      <c r="L62" s="22">
        <f t="shared" ref="L62:L63" si="58">+G62*4%</f>
        <v>40000.000000000007</v>
      </c>
      <c r="M62" s="22">
        <f t="shared" ref="M62:M63" si="59">+G62*4%</f>
        <v>40000.000000000007</v>
      </c>
      <c r="N62" s="22"/>
      <c r="O62" s="22"/>
      <c r="P62" s="22">
        <v>0</v>
      </c>
      <c r="Q62" s="22"/>
      <c r="R62" s="22"/>
      <c r="S62" s="22"/>
      <c r="T62" s="22">
        <f t="shared" si="43"/>
        <v>80000.000000000015</v>
      </c>
      <c r="U62" s="23">
        <f t="shared" si="50"/>
        <v>1497700</v>
      </c>
      <c r="V62" s="23"/>
      <c r="W62" s="64"/>
      <c r="X62" s="23">
        <f t="shared" si="4"/>
        <v>1497700</v>
      </c>
    </row>
    <row r="63" spans="1:24" ht="17.25" customHeight="1" x14ac:dyDescent="0.25">
      <c r="A63" s="233"/>
      <c r="B63" s="26">
        <v>14</v>
      </c>
      <c r="C63" s="19" t="s">
        <v>209</v>
      </c>
      <c r="D63" s="20" t="s">
        <v>32</v>
      </c>
      <c r="E63" s="22">
        <v>689455</v>
      </c>
      <c r="F63" s="22">
        <v>30</v>
      </c>
      <c r="G63" s="22">
        <f>E63/30*F63</f>
        <v>689455</v>
      </c>
      <c r="H63" s="22"/>
      <c r="I63" s="22"/>
      <c r="J63" s="22"/>
      <c r="K63" s="22">
        <f t="shared" ref="K63" si="60">SUM(G63:I63)+J63</f>
        <v>689455</v>
      </c>
      <c r="L63" s="22">
        <f t="shared" si="58"/>
        <v>27578.2</v>
      </c>
      <c r="M63" s="22">
        <f t="shared" si="59"/>
        <v>27578.2</v>
      </c>
      <c r="N63" s="22"/>
      <c r="O63" s="22"/>
      <c r="P63" s="22">
        <v>0</v>
      </c>
      <c r="Q63" s="22"/>
      <c r="R63" s="22"/>
      <c r="S63" s="22"/>
      <c r="T63" s="22">
        <f t="shared" ref="T63" si="61">SUM(L63:S63)</f>
        <v>55156.4</v>
      </c>
      <c r="U63" s="23">
        <f t="shared" si="50"/>
        <v>634298.6</v>
      </c>
      <c r="V63" s="23"/>
      <c r="W63" s="64"/>
      <c r="X63" s="23"/>
    </row>
    <row r="64" spans="1:24" ht="24" x14ac:dyDescent="0.25">
      <c r="A64" s="233"/>
      <c r="B64" s="26">
        <v>15</v>
      </c>
      <c r="C64" s="19" t="s">
        <v>109</v>
      </c>
      <c r="D64" s="20" t="s">
        <v>32</v>
      </c>
      <c r="E64" s="22">
        <v>1200000</v>
      </c>
      <c r="F64" s="22">
        <v>30</v>
      </c>
      <c r="G64" s="22">
        <f>E64/30*F64</f>
        <v>1200000</v>
      </c>
      <c r="H64" s="22">
        <v>77700</v>
      </c>
      <c r="I64" s="22"/>
      <c r="J64" s="22">
        <f>+E64-G64</f>
        <v>0</v>
      </c>
      <c r="K64" s="22">
        <f t="shared" si="30"/>
        <v>1277700</v>
      </c>
      <c r="L64" s="22">
        <v>48000</v>
      </c>
      <c r="M64" s="22">
        <v>48000</v>
      </c>
      <c r="N64" s="22"/>
      <c r="O64" s="22"/>
      <c r="P64" s="22">
        <v>0</v>
      </c>
      <c r="Q64" s="22"/>
      <c r="R64" s="22"/>
      <c r="S64" s="22"/>
      <c r="T64" s="22">
        <f t="shared" si="43"/>
        <v>96000</v>
      </c>
      <c r="U64" s="23">
        <f t="shared" si="50"/>
        <v>1181700</v>
      </c>
      <c r="V64" s="23"/>
      <c r="W64" s="64"/>
      <c r="X64" s="23">
        <f t="shared" si="4"/>
        <v>1181700</v>
      </c>
    </row>
    <row r="65" spans="1:27" x14ac:dyDescent="0.25">
      <c r="A65" s="233"/>
      <c r="B65" s="26">
        <v>16</v>
      </c>
      <c r="C65" s="30" t="s">
        <v>111</v>
      </c>
      <c r="D65" s="26" t="s">
        <v>32</v>
      </c>
      <c r="E65" s="22">
        <v>3500000</v>
      </c>
      <c r="F65" s="22">
        <v>30</v>
      </c>
      <c r="G65" s="22">
        <f>+E65/30*F65</f>
        <v>3500000</v>
      </c>
      <c r="H65" s="22"/>
      <c r="I65" s="22"/>
      <c r="J65" s="22"/>
      <c r="K65" s="22">
        <f t="shared" si="30"/>
        <v>3500000</v>
      </c>
      <c r="L65" s="22">
        <v>140000</v>
      </c>
      <c r="M65" s="22">
        <v>175000</v>
      </c>
      <c r="N65" s="22"/>
      <c r="O65" s="22"/>
      <c r="P65" s="22">
        <v>0</v>
      </c>
      <c r="Q65" s="22"/>
      <c r="R65" s="22"/>
      <c r="S65" s="22"/>
      <c r="T65" s="22">
        <f t="shared" si="43"/>
        <v>315000</v>
      </c>
      <c r="U65" s="23">
        <f t="shared" ref="U65:U75" si="62">K65-T65</f>
        <v>3185000</v>
      </c>
      <c r="V65" s="23"/>
      <c r="W65" s="64"/>
      <c r="X65" s="23">
        <f t="shared" si="4"/>
        <v>3185000</v>
      </c>
    </row>
    <row r="66" spans="1:27" x14ac:dyDescent="0.25">
      <c r="A66" s="233"/>
      <c r="B66" s="26">
        <v>17</v>
      </c>
      <c r="C66" s="19" t="s">
        <v>113</v>
      </c>
      <c r="D66" s="20" t="s">
        <v>32</v>
      </c>
      <c r="E66" s="22">
        <v>4000000</v>
      </c>
      <c r="F66" s="22">
        <v>30</v>
      </c>
      <c r="G66" s="22">
        <f>+E66/30*F66</f>
        <v>4000000.0000000005</v>
      </c>
      <c r="H66" s="22"/>
      <c r="I66" s="22">
        <v>300000</v>
      </c>
      <c r="J66" s="22"/>
      <c r="K66" s="22">
        <f t="shared" si="30"/>
        <v>4300000</v>
      </c>
      <c r="L66" s="22">
        <v>160000</v>
      </c>
      <c r="M66" s="22">
        <v>200000</v>
      </c>
      <c r="N66" s="22"/>
      <c r="O66" s="22"/>
      <c r="P66" s="22">
        <v>3000</v>
      </c>
      <c r="Q66" s="22"/>
      <c r="R66" s="22"/>
      <c r="S66" s="22">
        <v>766228</v>
      </c>
      <c r="T66" s="22">
        <f t="shared" si="43"/>
        <v>1129228</v>
      </c>
      <c r="U66" s="23">
        <f t="shared" si="62"/>
        <v>3170772</v>
      </c>
      <c r="V66" s="23"/>
      <c r="W66" s="64"/>
      <c r="X66" s="23">
        <f t="shared" si="4"/>
        <v>3170772</v>
      </c>
    </row>
    <row r="67" spans="1:27" x14ac:dyDescent="0.25">
      <c r="A67" s="233"/>
      <c r="B67" s="26">
        <v>18</v>
      </c>
      <c r="C67" s="19" t="s">
        <v>115</v>
      </c>
      <c r="D67" s="20" t="s">
        <v>32</v>
      </c>
      <c r="E67" s="22">
        <v>689455</v>
      </c>
      <c r="F67" s="22">
        <v>30</v>
      </c>
      <c r="G67" s="22">
        <f>+E67/30*F67</f>
        <v>689455</v>
      </c>
      <c r="H67" s="22"/>
      <c r="I67" s="22"/>
      <c r="J67" s="22"/>
      <c r="K67" s="22">
        <f t="shared" si="30"/>
        <v>689455</v>
      </c>
      <c r="L67" s="22"/>
      <c r="M67" s="22"/>
      <c r="N67" s="22"/>
      <c r="O67" s="22"/>
      <c r="P67" s="22"/>
      <c r="Q67" s="22"/>
      <c r="R67" s="22"/>
      <c r="S67" s="22"/>
      <c r="T67" s="22">
        <f t="shared" si="43"/>
        <v>0</v>
      </c>
      <c r="U67" s="23">
        <f t="shared" si="62"/>
        <v>689455</v>
      </c>
      <c r="V67" s="23"/>
      <c r="W67" s="64"/>
      <c r="X67" s="23">
        <f t="shared" si="4"/>
        <v>689455</v>
      </c>
    </row>
    <row r="68" spans="1:27" ht="17.25" customHeight="1" x14ac:dyDescent="0.25">
      <c r="A68" s="233"/>
      <c r="B68" s="26">
        <v>19</v>
      </c>
      <c r="C68" s="19" t="s">
        <v>116</v>
      </c>
      <c r="D68" s="20" t="s">
        <v>32</v>
      </c>
      <c r="E68" s="22">
        <v>3000000</v>
      </c>
      <c r="F68" s="22">
        <v>30</v>
      </c>
      <c r="G68" s="22">
        <f>E68/30*F68</f>
        <v>3000000</v>
      </c>
      <c r="H68" s="22"/>
      <c r="I68" s="22"/>
      <c r="J68" s="22">
        <f>+E68-G68</f>
        <v>0</v>
      </c>
      <c r="K68" s="22">
        <f t="shared" si="30"/>
        <v>3000000</v>
      </c>
      <c r="L68" s="22">
        <v>120000</v>
      </c>
      <c r="M68" s="22">
        <v>150000</v>
      </c>
      <c r="N68" s="22"/>
      <c r="O68" s="22"/>
      <c r="P68" s="22">
        <v>0</v>
      </c>
      <c r="Q68" s="22"/>
      <c r="R68" s="22"/>
      <c r="S68" s="22">
        <v>322019</v>
      </c>
      <c r="T68" s="22">
        <f t="shared" si="43"/>
        <v>592019</v>
      </c>
      <c r="U68" s="23">
        <f t="shared" si="62"/>
        <v>2407981</v>
      </c>
      <c r="V68" s="23"/>
      <c r="W68" s="64"/>
      <c r="X68" s="23">
        <f t="shared" ref="X68:X108" si="63">U68+V68-W68</f>
        <v>2407981</v>
      </c>
    </row>
    <row r="69" spans="1:27" ht="17.25" customHeight="1" x14ac:dyDescent="0.25">
      <c r="A69" s="233"/>
      <c r="B69" s="26">
        <v>20</v>
      </c>
      <c r="C69" s="19" t="s">
        <v>204</v>
      </c>
      <c r="D69" s="20" t="s">
        <v>32</v>
      </c>
      <c r="E69" s="22">
        <v>689455</v>
      </c>
      <c r="F69" s="22">
        <v>30</v>
      </c>
      <c r="G69" s="22">
        <v>574546</v>
      </c>
      <c r="H69" s="22">
        <f>+(77700/30)*F69</f>
        <v>77700</v>
      </c>
      <c r="I69" s="22"/>
      <c r="J69" s="22">
        <v>160873</v>
      </c>
      <c r="K69" s="22">
        <f t="shared" ref="K69:K71" si="64">SUM(G69:I69)+J69</f>
        <v>813119</v>
      </c>
      <c r="L69" s="22">
        <v>29417</v>
      </c>
      <c r="M69" s="22">
        <v>29417</v>
      </c>
      <c r="N69" s="22"/>
      <c r="O69" s="22"/>
      <c r="P69" s="22"/>
      <c r="Q69" s="22"/>
      <c r="R69" s="22"/>
      <c r="S69" s="22"/>
      <c r="T69" s="22">
        <f t="shared" si="43"/>
        <v>58834</v>
      </c>
      <c r="U69" s="23">
        <f t="shared" si="62"/>
        <v>754285</v>
      </c>
      <c r="V69" s="23"/>
      <c r="W69" s="64"/>
      <c r="X69" s="23">
        <f t="shared" si="63"/>
        <v>754285</v>
      </c>
    </row>
    <row r="70" spans="1:27" x14ac:dyDescent="0.25">
      <c r="A70" s="233"/>
      <c r="B70" s="26">
        <v>21</v>
      </c>
      <c r="C70" s="30" t="s">
        <v>221</v>
      </c>
      <c r="D70" s="26" t="s">
        <v>32</v>
      </c>
      <c r="E70" s="22">
        <v>3250000</v>
      </c>
      <c r="F70" s="22">
        <v>30</v>
      </c>
      <c r="G70" s="22">
        <f t="shared" ref="G70" si="65">+E70/30*F70</f>
        <v>3250000</v>
      </c>
      <c r="H70" s="22"/>
      <c r="I70" s="22"/>
      <c r="J70" s="22"/>
      <c r="K70" s="22">
        <f t="shared" ref="K70" si="66">SUM(G70:I70)+J70</f>
        <v>3250000</v>
      </c>
      <c r="L70" s="22">
        <f>+G70*4%</f>
        <v>130000</v>
      </c>
      <c r="M70" s="22">
        <f>+G70*5%</f>
        <v>162500</v>
      </c>
      <c r="N70" s="22"/>
      <c r="O70" s="22"/>
      <c r="P70" s="22"/>
      <c r="Q70" s="22"/>
      <c r="R70" s="22"/>
      <c r="S70" s="22"/>
      <c r="T70" s="22">
        <f t="shared" ref="T70" si="67">SUM(L70:S70)</f>
        <v>292500</v>
      </c>
      <c r="U70" s="23">
        <f t="shared" ref="U70" si="68">+K70-T70</f>
        <v>2957500</v>
      </c>
      <c r="V70" s="23"/>
      <c r="W70" s="64"/>
      <c r="X70" s="23">
        <f t="shared" si="63"/>
        <v>2957500</v>
      </c>
    </row>
    <row r="71" spans="1:27" ht="17.25" customHeight="1" x14ac:dyDescent="0.25">
      <c r="A71" s="233"/>
      <c r="B71" s="26">
        <v>22</v>
      </c>
      <c r="C71" s="19" t="s">
        <v>213</v>
      </c>
      <c r="D71" s="20" t="s">
        <v>32</v>
      </c>
      <c r="E71" s="22">
        <v>900000</v>
      </c>
      <c r="F71" s="22">
        <v>30</v>
      </c>
      <c r="G71" s="22">
        <f>E71/30*F71</f>
        <v>900000</v>
      </c>
      <c r="H71" s="22"/>
      <c r="I71" s="22"/>
      <c r="J71" s="22"/>
      <c r="K71" s="22">
        <f t="shared" si="64"/>
        <v>900000</v>
      </c>
      <c r="L71" s="22">
        <f t="shared" ref="L71:L72" si="69">+G71*4%</f>
        <v>36000</v>
      </c>
      <c r="M71" s="22">
        <f>+G71*4%</f>
        <v>36000</v>
      </c>
      <c r="N71" s="22"/>
      <c r="O71" s="22"/>
      <c r="P71" s="22"/>
      <c r="Q71" s="22"/>
      <c r="R71" s="22"/>
      <c r="S71" s="22">
        <v>155700</v>
      </c>
      <c r="T71" s="22">
        <f t="shared" si="43"/>
        <v>227700</v>
      </c>
      <c r="U71" s="23">
        <f>K71-T71</f>
        <v>672300</v>
      </c>
      <c r="V71" s="23"/>
      <c r="W71" s="64"/>
      <c r="X71" s="23">
        <f t="shared" si="63"/>
        <v>672300</v>
      </c>
    </row>
    <row r="72" spans="1:27" ht="15.75" customHeight="1" x14ac:dyDescent="0.25">
      <c r="A72" s="233"/>
      <c r="B72" s="26">
        <v>23</v>
      </c>
      <c r="C72" s="19" t="s">
        <v>118</v>
      </c>
      <c r="D72" s="20" t="s">
        <v>32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/>
      <c r="K72" s="22">
        <f t="shared" si="30"/>
        <v>2000000.0000000002</v>
      </c>
      <c r="L72" s="22">
        <f t="shared" si="69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>
        <v>254624</v>
      </c>
      <c r="T72" s="22">
        <f t="shared" si="43"/>
        <v>414624</v>
      </c>
      <c r="U72" s="23">
        <f t="shared" si="62"/>
        <v>1585376.0000000002</v>
      </c>
      <c r="V72" s="23"/>
      <c r="W72" s="64"/>
      <c r="X72" s="23">
        <f t="shared" si="63"/>
        <v>1585376.0000000002</v>
      </c>
      <c r="AA72" s="65">
        <f>1196000+644000</f>
        <v>1840000</v>
      </c>
    </row>
    <row r="73" spans="1:27" ht="15.75" customHeight="1" x14ac:dyDescent="0.25">
      <c r="A73" s="233"/>
      <c r="B73" s="26">
        <v>24</v>
      </c>
      <c r="C73" s="19" t="s">
        <v>210</v>
      </c>
      <c r="D73" s="20" t="s">
        <v>32</v>
      </c>
      <c r="E73" s="22">
        <v>2000000</v>
      </c>
      <c r="F73" s="22">
        <v>30</v>
      </c>
      <c r="G73" s="22">
        <v>1666667</v>
      </c>
      <c r="H73" s="22"/>
      <c r="I73" s="22"/>
      <c r="J73" s="22">
        <v>466667</v>
      </c>
      <c r="K73" s="22">
        <f t="shared" ref="K73" si="70">SUM(G73:I73)+J73</f>
        <v>2133334</v>
      </c>
      <c r="L73" s="22">
        <v>85333</v>
      </c>
      <c r="M73" s="22">
        <v>85333</v>
      </c>
      <c r="N73" s="22"/>
      <c r="O73" s="22"/>
      <c r="P73" s="22">
        <v>0</v>
      </c>
      <c r="Q73" s="22"/>
      <c r="R73" s="22"/>
      <c r="S73" s="22"/>
      <c r="T73" s="22">
        <f t="shared" ref="T73" si="71">SUM(L73:S73)</f>
        <v>170666</v>
      </c>
      <c r="U73" s="23">
        <f t="shared" si="62"/>
        <v>1962668</v>
      </c>
      <c r="V73" s="23"/>
      <c r="W73" s="64"/>
      <c r="X73" s="23">
        <f t="shared" si="63"/>
        <v>1962668</v>
      </c>
    </row>
    <row r="74" spans="1:27" ht="15.75" customHeight="1" x14ac:dyDescent="0.25">
      <c r="A74" s="233"/>
      <c r="B74" s="26">
        <v>25</v>
      </c>
      <c r="C74" s="19" t="s">
        <v>234</v>
      </c>
      <c r="D74" s="20" t="s">
        <v>32</v>
      </c>
      <c r="E74" s="22">
        <v>2500000</v>
      </c>
      <c r="F74" s="22">
        <v>30</v>
      </c>
      <c r="G74" s="22">
        <f>(E74/30*F74)</f>
        <v>2500000</v>
      </c>
      <c r="H74" s="22"/>
      <c r="I74" s="22"/>
      <c r="J74" s="22"/>
      <c r="K74" s="22">
        <f t="shared" ref="K74" si="72">SUM(G74:I74)+J74</f>
        <v>2500000</v>
      </c>
      <c r="L74" s="22">
        <f t="shared" ref="L74" si="73">+G74*4%</f>
        <v>100000</v>
      </c>
      <c r="M74" s="22">
        <f>+G74*4%</f>
        <v>100000</v>
      </c>
      <c r="N74" s="22"/>
      <c r="O74" s="22"/>
      <c r="P74" s="22"/>
      <c r="Q74" s="22"/>
      <c r="R74" s="22"/>
      <c r="S74" s="22"/>
      <c r="T74" s="22">
        <f t="shared" ref="T74" si="74">SUM(L74:S74)</f>
        <v>200000</v>
      </c>
      <c r="U74" s="23">
        <f t="shared" si="62"/>
        <v>2300000</v>
      </c>
      <c r="V74" s="23"/>
      <c r="W74" s="64"/>
      <c r="X74" s="23">
        <f t="shared" si="63"/>
        <v>2300000</v>
      </c>
    </row>
    <row r="75" spans="1:27" x14ac:dyDescent="0.25">
      <c r="A75" s="233"/>
      <c r="B75" s="26">
        <v>26</v>
      </c>
      <c r="C75" s="30" t="s">
        <v>120</v>
      </c>
      <c r="D75" s="26" t="s">
        <v>32</v>
      </c>
      <c r="E75" s="22">
        <v>689455</v>
      </c>
      <c r="F75" s="22">
        <v>30</v>
      </c>
      <c r="G75" s="22">
        <f>(E75/30*F75)</f>
        <v>689455</v>
      </c>
      <c r="H75" s="22"/>
      <c r="I75" s="22"/>
      <c r="J75" s="22"/>
      <c r="K75" s="22">
        <f t="shared" si="30"/>
        <v>689455</v>
      </c>
      <c r="L75" s="22"/>
      <c r="M75" s="22"/>
      <c r="N75" s="22"/>
      <c r="O75" s="22"/>
      <c r="P75" s="22"/>
      <c r="Q75" s="22"/>
      <c r="R75" s="22"/>
      <c r="S75" s="22"/>
      <c r="T75" s="22">
        <f t="shared" si="43"/>
        <v>0</v>
      </c>
      <c r="U75" s="23">
        <f t="shared" si="62"/>
        <v>689455</v>
      </c>
      <c r="V75" s="23"/>
      <c r="W75" s="64"/>
      <c r="X75" s="23">
        <f t="shared" si="63"/>
        <v>689455</v>
      </c>
      <c r="AA75" s="65">
        <f>1840000-1196000</f>
        <v>644000</v>
      </c>
    </row>
    <row r="76" spans="1:27" x14ac:dyDescent="0.25">
      <c r="A76" s="233"/>
      <c r="B76" s="26">
        <v>27</v>
      </c>
      <c r="C76" s="30" t="s">
        <v>122</v>
      </c>
      <c r="D76" s="26" t="s">
        <v>32</v>
      </c>
      <c r="E76" s="22">
        <v>1800000</v>
      </c>
      <c r="F76" s="22">
        <v>30</v>
      </c>
      <c r="G76" s="22">
        <f>+E76/30*F76</f>
        <v>1800000</v>
      </c>
      <c r="H76" s="22"/>
      <c r="I76" s="22">
        <v>500000</v>
      </c>
      <c r="J76" s="22"/>
      <c r="K76" s="22">
        <f t="shared" si="30"/>
        <v>2300000</v>
      </c>
      <c r="L76" s="22">
        <f>+E76*4%</f>
        <v>72000</v>
      </c>
      <c r="M76" s="22">
        <f>+E76*4%</f>
        <v>72000</v>
      </c>
      <c r="N76" s="22"/>
      <c r="O76" s="22"/>
      <c r="P76" s="22">
        <v>0</v>
      </c>
      <c r="Q76" s="22"/>
      <c r="R76" s="22"/>
      <c r="S76" s="22"/>
      <c r="T76" s="22">
        <f t="shared" si="43"/>
        <v>144000</v>
      </c>
      <c r="U76" s="23">
        <f>K76-T76</f>
        <v>2156000</v>
      </c>
      <c r="V76" s="23"/>
      <c r="W76" s="64"/>
      <c r="X76" s="23">
        <f>U76+V76-W76</f>
        <v>2156000</v>
      </c>
    </row>
    <row r="77" spans="1:27" ht="20.25" customHeight="1" x14ac:dyDescent="0.25">
      <c r="A77" s="233"/>
      <c r="B77" s="26">
        <v>28</v>
      </c>
      <c r="C77" s="19" t="s">
        <v>126</v>
      </c>
      <c r="D77" s="20" t="s">
        <v>32</v>
      </c>
      <c r="E77" s="22">
        <v>3000000</v>
      </c>
      <c r="F77" s="22">
        <v>30</v>
      </c>
      <c r="G77" s="22">
        <f t="shared" ref="G77" si="75">+E77/30*F77</f>
        <v>3000000</v>
      </c>
      <c r="H77" s="22"/>
      <c r="I77" s="22"/>
      <c r="J77" s="22">
        <f>+E77-G77</f>
        <v>0</v>
      </c>
      <c r="K77" s="22">
        <f t="shared" si="30"/>
        <v>3000000</v>
      </c>
      <c r="L77" s="22">
        <v>120000</v>
      </c>
      <c r="M77" s="22">
        <v>150000</v>
      </c>
      <c r="N77" s="22"/>
      <c r="O77" s="22"/>
      <c r="P77" s="22">
        <v>0</v>
      </c>
      <c r="Q77" s="22"/>
      <c r="R77" s="22"/>
      <c r="S77" s="22">
        <v>996534</v>
      </c>
      <c r="T77" s="22">
        <f t="shared" si="43"/>
        <v>1266534</v>
      </c>
      <c r="U77" s="23">
        <f t="shared" ref="U77:U86" si="76">+K77-T77</f>
        <v>1733466</v>
      </c>
      <c r="V77" s="23"/>
      <c r="W77" s="64"/>
      <c r="X77" s="23">
        <f t="shared" ref="X77" si="77">U77+V77-W77</f>
        <v>1733466</v>
      </c>
    </row>
    <row r="78" spans="1:27" ht="18" customHeight="1" x14ac:dyDescent="0.25">
      <c r="A78" s="233"/>
      <c r="B78" s="26">
        <v>29</v>
      </c>
      <c r="C78" s="19" t="s">
        <v>124</v>
      </c>
      <c r="D78" s="20" t="s">
        <v>32</v>
      </c>
      <c r="E78" s="22">
        <v>2000000</v>
      </c>
      <c r="F78" s="22">
        <v>30</v>
      </c>
      <c r="G78" s="22">
        <f>+E78/30*F78</f>
        <v>2000000.0000000002</v>
      </c>
      <c r="H78" s="22"/>
      <c r="I78" s="22"/>
      <c r="J78" s="22">
        <f>+E78-G78</f>
        <v>0</v>
      </c>
      <c r="K78" s="22">
        <f t="shared" si="30"/>
        <v>2000000.0000000002</v>
      </c>
      <c r="L78" s="22">
        <v>80000</v>
      </c>
      <c r="M78" s="22">
        <v>80000</v>
      </c>
      <c r="N78" s="22"/>
      <c r="O78" s="22"/>
      <c r="P78" s="22">
        <v>0</v>
      </c>
      <c r="Q78" s="22"/>
      <c r="R78" s="22"/>
      <c r="S78" s="22"/>
      <c r="T78" s="22">
        <f t="shared" si="43"/>
        <v>160000</v>
      </c>
      <c r="U78" s="23">
        <f t="shared" si="76"/>
        <v>1840000.0000000002</v>
      </c>
      <c r="V78" s="23"/>
      <c r="W78" s="64"/>
      <c r="X78" s="23">
        <f t="shared" si="63"/>
        <v>1840000.0000000002</v>
      </c>
    </row>
    <row r="79" spans="1:27" x14ac:dyDescent="0.25">
      <c r="A79" s="233"/>
      <c r="B79" s="26">
        <v>30</v>
      </c>
      <c r="C79" s="19" t="s">
        <v>128</v>
      </c>
      <c r="D79" s="20" t="s">
        <v>32</v>
      </c>
      <c r="E79" s="22">
        <v>3250000</v>
      </c>
      <c r="F79" s="22">
        <v>30</v>
      </c>
      <c r="G79" s="22">
        <f t="shared" ref="G79:G89" si="78">+E79/30*F79</f>
        <v>3250000</v>
      </c>
      <c r="H79" s="22"/>
      <c r="I79" s="22"/>
      <c r="J79" s="22">
        <f>+E79-G79</f>
        <v>0</v>
      </c>
      <c r="K79" s="22">
        <f t="shared" si="30"/>
        <v>3250000</v>
      </c>
      <c r="L79" s="22">
        <v>130000</v>
      </c>
      <c r="M79" s="22">
        <v>162500</v>
      </c>
      <c r="N79" s="22"/>
      <c r="O79" s="22"/>
      <c r="P79" s="22"/>
      <c r="Q79" s="22"/>
      <c r="R79" s="22"/>
      <c r="S79" s="22"/>
      <c r="T79" s="22">
        <f t="shared" si="43"/>
        <v>292500</v>
      </c>
      <c r="U79" s="23">
        <f t="shared" si="76"/>
        <v>2957500</v>
      </c>
      <c r="V79" s="23"/>
      <c r="W79" s="64"/>
      <c r="X79" s="23">
        <f t="shared" si="63"/>
        <v>2957500</v>
      </c>
      <c r="Y79" s="65" t="s">
        <v>130</v>
      </c>
    </row>
    <row r="80" spans="1:27" x14ac:dyDescent="0.25">
      <c r="A80" s="233"/>
      <c r="B80" s="26">
        <v>31</v>
      </c>
      <c r="C80" s="19" t="s">
        <v>214</v>
      </c>
      <c r="D80" s="20" t="s">
        <v>32</v>
      </c>
      <c r="E80" s="22">
        <v>689455</v>
      </c>
      <c r="F80" s="22">
        <v>30</v>
      </c>
      <c r="G80" s="22">
        <v>574546</v>
      </c>
      <c r="H80" s="22">
        <v>77700</v>
      </c>
      <c r="I80" s="22"/>
      <c r="J80" s="22">
        <v>160873</v>
      </c>
      <c r="K80" s="22">
        <f t="shared" ref="K80" si="79">SUM(G80:I80)+J80</f>
        <v>813119</v>
      </c>
      <c r="L80" s="22">
        <v>29417</v>
      </c>
      <c r="M80" s="22">
        <v>29417</v>
      </c>
      <c r="N80" s="22"/>
      <c r="O80" s="22"/>
      <c r="P80" s="22">
        <v>0</v>
      </c>
      <c r="Q80" s="22"/>
      <c r="R80" s="22"/>
      <c r="S80" s="22"/>
      <c r="T80" s="22">
        <f t="shared" ref="T80" si="80">SUM(L80:S80)</f>
        <v>58834</v>
      </c>
      <c r="U80" s="23">
        <f t="shared" si="76"/>
        <v>754285</v>
      </c>
      <c r="V80" s="23"/>
      <c r="W80" s="64"/>
      <c r="X80" s="23">
        <f t="shared" si="63"/>
        <v>754285</v>
      </c>
      <c r="Y80" s="65" t="s">
        <v>130</v>
      </c>
    </row>
    <row r="81" spans="1:24" x14ac:dyDescent="0.25">
      <c r="A81" s="233"/>
      <c r="B81" s="26">
        <v>32</v>
      </c>
      <c r="C81" s="19" t="s">
        <v>131</v>
      </c>
      <c r="D81" s="20" t="s">
        <v>32</v>
      </c>
      <c r="E81" s="22">
        <v>3000000</v>
      </c>
      <c r="F81" s="22">
        <v>30</v>
      </c>
      <c r="G81" s="22">
        <f t="shared" si="78"/>
        <v>3000000</v>
      </c>
      <c r="H81" s="22"/>
      <c r="I81" s="22"/>
      <c r="J81" s="22"/>
      <c r="K81" s="22">
        <f t="shared" si="30"/>
        <v>3000000</v>
      </c>
      <c r="L81" s="22">
        <f>+E81*4%</f>
        <v>120000</v>
      </c>
      <c r="M81" s="22">
        <f>+E81*5%</f>
        <v>150000</v>
      </c>
      <c r="N81" s="22"/>
      <c r="O81" s="22"/>
      <c r="P81" s="25">
        <v>0</v>
      </c>
      <c r="Q81" s="22"/>
      <c r="R81" s="22"/>
      <c r="S81" s="22">
        <v>586000</v>
      </c>
      <c r="T81" s="22">
        <f t="shared" si="43"/>
        <v>856000</v>
      </c>
      <c r="U81" s="23">
        <f t="shared" si="76"/>
        <v>2144000</v>
      </c>
      <c r="V81" s="23"/>
      <c r="W81" s="64"/>
      <c r="X81" s="23">
        <f t="shared" si="63"/>
        <v>2144000</v>
      </c>
    </row>
    <row r="82" spans="1:24" x14ac:dyDescent="0.25">
      <c r="A82" s="233"/>
      <c r="B82" s="26">
        <v>33</v>
      </c>
      <c r="C82" s="19" t="s">
        <v>222</v>
      </c>
      <c r="D82" s="20"/>
      <c r="E82" s="22">
        <v>4500000</v>
      </c>
      <c r="F82" s="22">
        <v>30</v>
      </c>
      <c r="G82" s="22">
        <f t="shared" si="78"/>
        <v>4500000</v>
      </c>
      <c r="H82" s="22"/>
      <c r="I82" s="22"/>
      <c r="J82" s="22"/>
      <c r="K82" s="22">
        <f t="shared" ref="K82" si="81">SUM(G82:I82)+J82</f>
        <v>4500000</v>
      </c>
      <c r="L82" s="22">
        <f>+G82*4%</f>
        <v>180000</v>
      </c>
      <c r="M82" s="22">
        <f>+G82*5%</f>
        <v>225000</v>
      </c>
      <c r="N82" s="22"/>
      <c r="O82" s="22"/>
      <c r="P82" s="25">
        <v>72000</v>
      </c>
      <c r="Q82" s="22"/>
      <c r="R82" s="22"/>
      <c r="S82" s="22"/>
      <c r="T82" s="22">
        <f t="shared" si="43"/>
        <v>477000</v>
      </c>
      <c r="U82" s="23">
        <f t="shared" si="76"/>
        <v>4023000</v>
      </c>
      <c r="V82" s="23"/>
      <c r="W82" s="64"/>
      <c r="X82" s="23">
        <f t="shared" si="63"/>
        <v>4023000</v>
      </c>
    </row>
    <row r="83" spans="1:24" x14ac:dyDescent="0.25">
      <c r="A83" s="233"/>
      <c r="B83" s="26">
        <v>34</v>
      </c>
      <c r="C83" s="19" t="s">
        <v>206</v>
      </c>
      <c r="D83" s="20" t="s">
        <v>32</v>
      </c>
      <c r="E83" s="22">
        <v>900000</v>
      </c>
      <c r="F83" s="22">
        <v>30</v>
      </c>
      <c r="G83" s="22">
        <f t="shared" si="78"/>
        <v>900000</v>
      </c>
      <c r="H83" s="22"/>
      <c r="I83" s="22"/>
      <c r="J83" s="22"/>
      <c r="K83" s="22">
        <f t="shared" ref="K83" si="82">SUM(G83:I83)+J83</f>
        <v>900000</v>
      </c>
      <c r="L83" s="22">
        <f>+G83*4%</f>
        <v>36000</v>
      </c>
      <c r="M83" s="22">
        <f>+G83*4%</f>
        <v>36000</v>
      </c>
      <c r="N83" s="22"/>
      <c r="O83" s="22"/>
      <c r="P83" s="25">
        <v>0</v>
      </c>
      <c r="Q83" s="22"/>
      <c r="R83" s="22"/>
      <c r="S83" s="22"/>
      <c r="T83" s="22">
        <f t="shared" ref="T83" si="83">SUM(L83:S83)</f>
        <v>72000</v>
      </c>
      <c r="U83" s="23">
        <f t="shared" si="76"/>
        <v>828000</v>
      </c>
      <c r="V83" s="23"/>
      <c r="W83" s="64"/>
      <c r="X83" s="23">
        <f t="shared" si="63"/>
        <v>828000</v>
      </c>
    </row>
    <row r="84" spans="1:24" ht="24" x14ac:dyDescent="0.25">
      <c r="A84" s="233"/>
      <c r="B84" s="26">
        <v>35</v>
      </c>
      <c r="C84" s="19" t="s">
        <v>215</v>
      </c>
      <c r="D84" s="20" t="s">
        <v>32</v>
      </c>
      <c r="E84" s="22">
        <v>689455</v>
      </c>
      <c r="F84" s="22">
        <v>30</v>
      </c>
      <c r="G84" s="22">
        <v>574546</v>
      </c>
      <c r="H84" s="22">
        <v>77700</v>
      </c>
      <c r="I84" s="22"/>
      <c r="J84" s="22">
        <v>160873</v>
      </c>
      <c r="K84" s="22">
        <f t="shared" ref="K84" si="84">SUM(G84:I84)+J84</f>
        <v>813119</v>
      </c>
      <c r="L84" s="22">
        <v>29417</v>
      </c>
      <c r="M84" s="22">
        <v>29417</v>
      </c>
      <c r="N84" s="22"/>
      <c r="O84" s="22"/>
      <c r="P84" s="25">
        <v>0</v>
      </c>
      <c r="Q84" s="22"/>
      <c r="R84" s="22"/>
      <c r="S84" s="22"/>
      <c r="T84" s="22">
        <f t="shared" ref="T84" si="85">SUM(L84:S84)</f>
        <v>58834</v>
      </c>
      <c r="U84" s="23">
        <f t="shared" si="76"/>
        <v>754285</v>
      </c>
      <c r="V84" s="23"/>
      <c r="W84" s="64"/>
      <c r="X84" s="23">
        <f t="shared" si="63"/>
        <v>754285</v>
      </c>
    </row>
    <row r="85" spans="1:24" x14ac:dyDescent="0.25">
      <c r="A85" s="233"/>
      <c r="B85" s="26">
        <v>36</v>
      </c>
      <c r="C85" s="19" t="s">
        <v>135</v>
      </c>
      <c r="D85" s="20" t="s">
        <v>32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8" si="86">SUM(G85:I85)+J85</f>
        <v>1800000</v>
      </c>
      <c r="L85" s="22">
        <v>72000</v>
      </c>
      <c r="M85" s="22">
        <v>72000</v>
      </c>
      <c r="N85" s="22"/>
      <c r="O85" s="22"/>
      <c r="P85" s="22">
        <v>0</v>
      </c>
      <c r="Q85" s="22"/>
      <c r="R85" s="22"/>
      <c r="S85" s="22">
        <v>257196</v>
      </c>
      <c r="T85" s="22">
        <f t="shared" si="43"/>
        <v>401196</v>
      </c>
      <c r="U85" s="23">
        <f t="shared" si="76"/>
        <v>1398804</v>
      </c>
      <c r="V85" s="23"/>
      <c r="W85" s="64"/>
      <c r="X85" s="23">
        <f t="shared" si="63"/>
        <v>1398804</v>
      </c>
    </row>
    <row r="86" spans="1:24" x14ac:dyDescent="0.25">
      <c r="A86" s="233"/>
      <c r="B86" s="26">
        <v>37</v>
      </c>
      <c r="C86" s="19" t="s">
        <v>189</v>
      </c>
      <c r="D86" s="20" t="s">
        <v>32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6"/>
        <v>4500000</v>
      </c>
      <c r="L86" s="22">
        <f t="shared" ref="L86" si="87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8">SUM(L86:S86)</f>
        <v>477000</v>
      </c>
      <c r="U86" s="23">
        <f t="shared" si="76"/>
        <v>4023000</v>
      </c>
      <c r="V86" s="23"/>
      <c r="W86" s="64"/>
      <c r="X86" s="23">
        <f t="shared" si="63"/>
        <v>4023000</v>
      </c>
    </row>
    <row r="87" spans="1:24" x14ac:dyDescent="0.25">
      <c r="A87" s="233"/>
      <c r="B87" s="26">
        <v>38</v>
      </c>
      <c r="C87" s="19" t="s">
        <v>138</v>
      </c>
      <c r="D87" s="20" t="s">
        <v>32</v>
      </c>
      <c r="E87" s="22">
        <v>4500000</v>
      </c>
      <c r="F87" s="22">
        <v>30</v>
      </c>
      <c r="G87" s="22">
        <f>+E87/30*F87</f>
        <v>4500000</v>
      </c>
      <c r="H87" s="22"/>
      <c r="I87" s="22"/>
      <c r="J87" s="22"/>
      <c r="K87" s="22">
        <f t="shared" si="86"/>
        <v>4500000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 t="shared" ref="U87:U92" si="89">K87-T87</f>
        <v>4021927</v>
      </c>
      <c r="V87" s="23"/>
      <c r="W87" s="64"/>
      <c r="X87" s="23">
        <f t="shared" si="63"/>
        <v>4021927</v>
      </c>
    </row>
    <row r="88" spans="1:24" x14ac:dyDescent="0.25">
      <c r="A88" s="233"/>
      <c r="B88" s="26">
        <v>39</v>
      </c>
      <c r="C88" s="19" t="s">
        <v>142</v>
      </c>
      <c r="D88" s="20" t="s">
        <v>32</v>
      </c>
      <c r="E88" s="22">
        <v>2500000</v>
      </c>
      <c r="F88" s="22">
        <v>30</v>
      </c>
      <c r="G88" s="22">
        <f t="shared" ref="G88" si="90">+E88/30*F88</f>
        <v>2500000</v>
      </c>
      <c r="H88" s="22"/>
      <c r="I88" s="22">
        <v>500000</v>
      </c>
      <c r="J88" s="22">
        <f>+E88-G88</f>
        <v>0</v>
      </c>
      <c r="K88" s="22">
        <f t="shared" si="86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3"/>
        <v>200000</v>
      </c>
      <c r="U88" s="23">
        <f t="shared" si="89"/>
        <v>2800000</v>
      </c>
      <c r="V88" s="23"/>
      <c r="W88" s="64"/>
      <c r="X88" s="23">
        <f t="shared" si="63"/>
        <v>2800000</v>
      </c>
    </row>
    <row r="89" spans="1:24" ht="24" x14ac:dyDescent="0.25">
      <c r="A89" s="233"/>
      <c r="B89" s="26">
        <v>40</v>
      </c>
      <c r="C89" s="19" t="s">
        <v>140</v>
      </c>
      <c r="D89" s="20" t="s">
        <v>32</v>
      </c>
      <c r="E89" s="22">
        <v>2548000</v>
      </c>
      <c r="F89" s="22">
        <v>30</v>
      </c>
      <c r="G89" s="22">
        <f t="shared" si="78"/>
        <v>2548000</v>
      </c>
      <c r="H89" s="22"/>
      <c r="I89" s="22"/>
      <c r="J89" s="22">
        <f>+E89-G89</f>
        <v>0</v>
      </c>
      <c r="K89" s="22">
        <f t="shared" si="86"/>
        <v>2548000</v>
      </c>
      <c r="L89" s="22">
        <v>101920</v>
      </c>
      <c r="M89" s="22">
        <v>101920</v>
      </c>
      <c r="N89" s="22"/>
      <c r="O89" s="22"/>
      <c r="P89" s="22">
        <v>0</v>
      </c>
      <c r="Q89" s="22"/>
      <c r="R89" s="22"/>
      <c r="S89" s="22">
        <v>359047</v>
      </c>
      <c r="T89" s="22">
        <f t="shared" si="43"/>
        <v>562887</v>
      </c>
      <c r="U89" s="23">
        <f t="shared" si="89"/>
        <v>1985113</v>
      </c>
      <c r="V89" s="23"/>
      <c r="W89" s="64"/>
      <c r="X89" s="23">
        <f t="shared" si="63"/>
        <v>1985113</v>
      </c>
    </row>
    <row r="90" spans="1:24" x14ac:dyDescent="0.25">
      <c r="A90" s="233"/>
      <c r="B90" s="26">
        <v>41</v>
      </c>
      <c r="C90" s="19" t="s">
        <v>216</v>
      </c>
      <c r="D90" s="20" t="s">
        <v>32</v>
      </c>
      <c r="E90" s="22">
        <v>689455</v>
      </c>
      <c r="F90" s="22">
        <v>30</v>
      </c>
      <c r="G90" s="22">
        <v>574546</v>
      </c>
      <c r="H90" s="22">
        <v>77700</v>
      </c>
      <c r="I90" s="22"/>
      <c r="J90" s="22">
        <v>160873</v>
      </c>
      <c r="K90" s="22">
        <f t="shared" ref="K90" si="91">SUM(G90:I90)+J90</f>
        <v>813119</v>
      </c>
      <c r="L90" s="22">
        <v>29417</v>
      </c>
      <c r="M90" s="22">
        <v>29417</v>
      </c>
      <c r="N90" s="22"/>
      <c r="O90" s="22"/>
      <c r="P90" s="22"/>
      <c r="Q90" s="22"/>
      <c r="R90" s="22"/>
      <c r="S90" s="22"/>
      <c r="T90" s="22">
        <f t="shared" si="43"/>
        <v>58834</v>
      </c>
      <c r="U90" s="23">
        <f t="shared" si="89"/>
        <v>754285</v>
      </c>
      <c r="V90" s="23"/>
      <c r="W90" s="64"/>
      <c r="X90" s="23">
        <f t="shared" si="63"/>
        <v>754285</v>
      </c>
    </row>
    <row r="91" spans="1:24" x14ac:dyDescent="0.25">
      <c r="A91" s="233"/>
      <c r="B91" s="26">
        <v>42</v>
      </c>
      <c r="C91" s="30" t="s">
        <v>144</v>
      </c>
      <c r="D91" s="26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44950</v>
      </c>
      <c r="K91" s="22">
        <f t="shared" si="86"/>
        <v>812105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3"/>
        <v>55156.4</v>
      </c>
      <c r="U91" s="23">
        <f t="shared" si="89"/>
        <v>756948.6</v>
      </c>
      <c r="V91" s="23"/>
      <c r="W91" s="64"/>
      <c r="X91" s="23">
        <f t="shared" si="63"/>
        <v>756948.6</v>
      </c>
    </row>
    <row r="92" spans="1:24" x14ac:dyDescent="0.25">
      <c r="A92" s="233"/>
      <c r="B92" s="26">
        <v>43</v>
      </c>
      <c r="C92" s="30" t="s">
        <v>238</v>
      </c>
      <c r="D92" s="26" t="s">
        <v>32</v>
      </c>
      <c r="E92" s="22">
        <v>1400000</v>
      </c>
      <c r="F92" s="22">
        <v>30</v>
      </c>
      <c r="G92" s="22">
        <f>+E92/30*F92</f>
        <v>1400000</v>
      </c>
      <c r="H92" s="22"/>
      <c r="I92" s="22"/>
      <c r="J92" s="22"/>
      <c r="K92" s="22">
        <f t="shared" si="86"/>
        <v>1400000</v>
      </c>
      <c r="L92" s="22">
        <f>+G92*4%</f>
        <v>56000</v>
      </c>
      <c r="M92" s="22">
        <f>+G92*4%</f>
        <v>56000</v>
      </c>
      <c r="N92" s="22"/>
      <c r="O92" s="22"/>
      <c r="P92" s="22">
        <v>0</v>
      </c>
      <c r="Q92" s="22"/>
      <c r="R92" s="22"/>
      <c r="S92" s="22"/>
      <c r="T92" s="22">
        <f t="shared" ref="T92" si="92">SUM(L92:S92)</f>
        <v>112000</v>
      </c>
      <c r="U92" s="23">
        <f t="shared" si="89"/>
        <v>1288000</v>
      </c>
      <c r="V92" s="23"/>
      <c r="W92" s="64"/>
      <c r="X92" s="23"/>
    </row>
    <row r="93" spans="1:24" x14ac:dyDescent="0.25">
      <c r="A93" s="233"/>
      <c r="B93" s="26">
        <v>44</v>
      </c>
      <c r="C93" s="19" t="s">
        <v>146</v>
      </c>
      <c r="D93" s="20" t="s">
        <v>32</v>
      </c>
      <c r="E93" s="22">
        <v>15400000</v>
      </c>
      <c r="F93" s="22">
        <v>30</v>
      </c>
      <c r="G93" s="22">
        <f t="shared" ref="G93:G101" si="93">+E93/30*F93</f>
        <v>15400000</v>
      </c>
      <c r="H93" s="22"/>
      <c r="I93" s="22">
        <v>600000</v>
      </c>
      <c r="J93" s="22"/>
      <c r="K93" s="22">
        <f t="shared" si="86"/>
        <v>16000000</v>
      </c>
      <c r="L93" s="22">
        <f t="shared" ref="L93:L106" si="94">+G93*4%</f>
        <v>616000</v>
      </c>
      <c r="M93" s="22">
        <f>+G93*6%</f>
        <v>924000</v>
      </c>
      <c r="N93" s="22">
        <v>102400</v>
      </c>
      <c r="O93" s="22"/>
      <c r="P93" s="22">
        <v>916000</v>
      </c>
      <c r="Q93" s="22">
        <v>5000000</v>
      </c>
      <c r="R93" s="22">
        <v>180180</v>
      </c>
      <c r="S93" s="22">
        <v>2314715</v>
      </c>
      <c r="T93" s="22">
        <f t="shared" si="43"/>
        <v>10053295</v>
      </c>
      <c r="U93" s="23">
        <f>+K93-T93</f>
        <v>5946705</v>
      </c>
      <c r="V93" s="23"/>
      <c r="W93" s="64"/>
      <c r="X93" s="23">
        <f t="shared" si="63"/>
        <v>5946705</v>
      </c>
    </row>
    <row r="94" spans="1:24" x14ac:dyDescent="0.25">
      <c r="A94" s="233"/>
      <c r="B94" s="26">
        <v>45</v>
      </c>
      <c r="C94" s="19" t="s">
        <v>148</v>
      </c>
      <c r="D94" s="20" t="s">
        <v>32</v>
      </c>
      <c r="E94" s="22">
        <v>4500000</v>
      </c>
      <c r="F94" s="22">
        <v>30</v>
      </c>
      <c r="G94" s="22">
        <f t="shared" si="93"/>
        <v>4500000</v>
      </c>
      <c r="H94" s="22"/>
      <c r="I94" s="22"/>
      <c r="J94" s="22"/>
      <c r="K94" s="22">
        <f t="shared" si="86"/>
        <v>4500000</v>
      </c>
      <c r="L94" s="22">
        <f t="shared" si="94"/>
        <v>180000</v>
      </c>
      <c r="M94" s="22">
        <f>+G94*5%</f>
        <v>225000</v>
      </c>
      <c r="N94" s="22"/>
      <c r="O94" s="22"/>
      <c r="P94" s="22">
        <v>90000</v>
      </c>
      <c r="Q94" s="22"/>
      <c r="R94" s="22"/>
      <c r="S94" s="22"/>
      <c r="T94" s="22">
        <f t="shared" si="43"/>
        <v>495000</v>
      </c>
      <c r="U94" s="23">
        <f>+K94-T94</f>
        <v>4005000</v>
      </c>
      <c r="V94" s="23"/>
      <c r="W94" s="64"/>
      <c r="X94" s="23">
        <f t="shared" si="63"/>
        <v>4005000</v>
      </c>
    </row>
    <row r="95" spans="1:24" x14ac:dyDescent="0.25">
      <c r="A95" s="233"/>
      <c r="B95" s="26">
        <v>46</v>
      </c>
      <c r="C95" s="19" t="s">
        <v>150</v>
      </c>
      <c r="D95" s="20" t="s">
        <v>32</v>
      </c>
      <c r="E95" s="22">
        <v>1650000</v>
      </c>
      <c r="F95" s="22">
        <v>30</v>
      </c>
      <c r="G95" s="22">
        <f t="shared" si="93"/>
        <v>1650000</v>
      </c>
      <c r="H95" s="22"/>
      <c r="I95" s="22"/>
      <c r="J95" s="22">
        <f>+E95-G95</f>
        <v>0</v>
      </c>
      <c r="K95" s="22">
        <f t="shared" si="86"/>
        <v>1650000</v>
      </c>
      <c r="L95" s="22">
        <v>66000</v>
      </c>
      <c r="M95" s="22">
        <v>66000</v>
      </c>
      <c r="N95" s="22"/>
      <c r="O95" s="22"/>
      <c r="P95" s="22">
        <v>0</v>
      </c>
      <c r="Q95" s="22"/>
      <c r="R95" s="22"/>
      <c r="S95" s="22"/>
      <c r="T95" s="22">
        <f t="shared" si="43"/>
        <v>132000</v>
      </c>
      <c r="U95" s="23">
        <f>+K95-T95</f>
        <v>1518000</v>
      </c>
      <c r="V95" s="23"/>
      <c r="W95" s="64"/>
      <c r="X95" s="23">
        <f t="shared" si="63"/>
        <v>1518000</v>
      </c>
    </row>
    <row r="96" spans="1:24" x14ac:dyDescent="0.25">
      <c r="A96" s="233"/>
      <c r="B96" s="26">
        <v>47</v>
      </c>
      <c r="C96" s="30" t="s">
        <v>152</v>
      </c>
      <c r="D96" s="26" t="s">
        <v>32</v>
      </c>
      <c r="E96" s="22">
        <v>2000000</v>
      </c>
      <c r="F96" s="22">
        <v>30</v>
      </c>
      <c r="G96" s="22">
        <f t="shared" si="93"/>
        <v>2000000.0000000002</v>
      </c>
      <c r="H96" s="22"/>
      <c r="I96" s="22">
        <v>160000</v>
      </c>
      <c r="J96" s="22"/>
      <c r="K96" s="22">
        <f t="shared" si="86"/>
        <v>2160000</v>
      </c>
      <c r="L96" s="22">
        <f>+E96*4%</f>
        <v>80000</v>
      </c>
      <c r="M96" s="22">
        <v>80000</v>
      </c>
      <c r="N96" s="22"/>
      <c r="O96" s="22"/>
      <c r="P96" s="22">
        <v>0</v>
      </c>
      <c r="Q96" s="22"/>
      <c r="R96" s="22"/>
      <c r="S96" s="22"/>
      <c r="T96" s="22">
        <f t="shared" si="43"/>
        <v>160000</v>
      </c>
      <c r="U96" s="23">
        <f>K96-T96</f>
        <v>2000000</v>
      </c>
      <c r="V96" s="23"/>
      <c r="W96" s="64"/>
      <c r="X96" s="23">
        <f t="shared" si="63"/>
        <v>2000000</v>
      </c>
    </row>
    <row r="97" spans="1:24" x14ac:dyDescent="0.25">
      <c r="A97" s="233"/>
      <c r="B97" s="26">
        <v>48</v>
      </c>
      <c r="C97" s="30" t="s">
        <v>184</v>
      </c>
      <c r="D97" s="26" t="s">
        <v>32</v>
      </c>
      <c r="E97" s="22">
        <v>1600000</v>
      </c>
      <c r="F97" s="22">
        <v>30</v>
      </c>
      <c r="G97" s="22">
        <f t="shared" si="93"/>
        <v>1600000</v>
      </c>
      <c r="H97" s="22"/>
      <c r="I97" s="22"/>
      <c r="J97" s="22">
        <v>200000</v>
      </c>
      <c r="K97" s="22">
        <f t="shared" si="86"/>
        <v>1800000</v>
      </c>
      <c r="L97" s="22">
        <f>+G97*4%</f>
        <v>64000</v>
      </c>
      <c r="M97" s="22">
        <f>+G97*4%</f>
        <v>64000</v>
      </c>
      <c r="N97" s="22"/>
      <c r="O97" s="22"/>
      <c r="P97" s="22"/>
      <c r="Q97" s="22"/>
      <c r="R97" s="22"/>
      <c r="S97" s="22"/>
      <c r="T97" s="22">
        <f>SUM(L97:S97)</f>
        <v>128000</v>
      </c>
      <c r="U97" s="23">
        <f>K97-T97</f>
        <v>1672000</v>
      </c>
      <c r="V97" s="23"/>
      <c r="W97" s="64"/>
      <c r="X97" s="23">
        <f t="shared" si="63"/>
        <v>1672000</v>
      </c>
    </row>
    <row r="98" spans="1:24" x14ac:dyDescent="0.25">
      <c r="A98" s="233"/>
      <c r="B98" s="26">
        <v>49</v>
      </c>
      <c r="C98" s="30" t="s">
        <v>197</v>
      </c>
      <c r="D98" s="26" t="s">
        <v>32</v>
      </c>
      <c r="E98" s="22">
        <v>1200000</v>
      </c>
      <c r="F98" s="22">
        <v>30</v>
      </c>
      <c r="G98" s="22">
        <f t="shared" si="93"/>
        <v>1200000</v>
      </c>
      <c r="H98" s="22">
        <f>+(77700/30)*F98</f>
        <v>77700</v>
      </c>
      <c r="I98" s="22"/>
      <c r="J98" s="22"/>
      <c r="K98" s="22">
        <f t="shared" ref="K98" si="95">SUM(G98:I98)+J98</f>
        <v>1277700</v>
      </c>
      <c r="L98" s="22">
        <f t="shared" ref="L98" si="96">+G98*4%</f>
        <v>48000</v>
      </c>
      <c r="M98" s="22">
        <f>+G98*4%</f>
        <v>48000</v>
      </c>
      <c r="N98" s="22"/>
      <c r="O98" s="22"/>
      <c r="P98" s="22"/>
      <c r="Q98" s="22"/>
      <c r="R98" s="22"/>
      <c r="S98" s="22"/>
      <c r="T98" s="22">
        <f t="shared" ref="T98" si="97">SUM(L98:S98)</f>
        <v>96000</v>
      </c>
      <c r="U98" s="23">
        <f>K98-T98</f>
        <v>1181700</v>
      </c>
      <c r="V98" s="23"/>
      <c r="W98" s="64"/>
      <c r="X98" s="23">
        <f t="shared" si="63"/>
        <v>1181700</v>
      </c>
    </row>
    <row r="99" spans="1:24" ht="24" x14ac:dyDescent="0.25">
      <c r="A99" s="233"/>
      <c r="B99" s="26">
        <v>50</v>
      </c>
      <c r="C99" s="19" t="s">
        <v>175</v>
      </c>
      <c r="D99" s="20" t="s">
        <v>32</v>
      </c>
      <c r="E99" s="22">
        <v>2500000</v>
      </c>
      <c r="F99" s="22">
        <v>30</v>
      </c>
      <c r="G99" s="22">
        <v>2083333</v>
      </c>
      <c r="H99" s="22"/>
      <c r="I99" s="22"/>
      <c r="J99" s="22">
        <v>583333</v>
      </c>
      <c r="K99" s="22">
        <f t="shared" si="86"/>
        <v>2666666</v>
      </c>
      <c r="L99" s="22">
        <v>106667</v>
      </c>
      <c r="M99" s="22">
        <v>106667</v>
      </c>
      <c r="N99" s="22"/>
      <c r="O99" s="22"/>
      <c r="P99" s="22"/>
      <c r="Q99" s="22"/>
      <c r="R99" s="22"/>
      <c r="S99" s="22"/>
      <c r="T99" s="22">
        <f t="shared" si="43"/>
        <v>213334</v>
      </c>
      <c r="U99" s="23">
        <f>+K99-T99</f>
        <v>2453332</v>
      </c>
      <c r="V99" s="23"/>
      <c r="W99" s="64"/>
      <c r="X99" s="23">
        <f t="shared" si="63"/>
        <v>2453332</v>
      </c>
    </row>
    <row r="100" spans="1:24" x14ac:dyDescent="0.25">
      <c r="A100" s="233"/>
      <c r="B100" s="26">
        <v>51</v>
      </c>
      <c r="C100" s="19" t="s">
        <v>88</v>
      </c>
      <c r="D100" s="20" t="s">
        <v>32</v>
      </c>
      <c r="E100" s="22">
        <v>3700000</v>
      </c>
      <c r="F100" s="22">
        <v>30</v>
      </c>
      <c r="G100" s="22">
        <f t="shared" ref="G100" si="98">+E100/30*F100</f>
        <v>3700000</v>
      </c>
      <c r="H100" s="22"/>
      <c r="I100" s="22">
        <v>650000</v>
      </c>
      <c r="J100" s="22"/>
      <c r="K100" s="22">
        <f t="shared" ref="K100" si="99">SUM(G100:I100)+J100</f>
        <v>4350000</v>
      </c>
      <c r="L100" s="22">
        <f t="shared" ref="L100" si="100">+G100*4%</f>
        <v>148000</v>
      </c>
      <c r="M100" s="22">
        <f>+G100*5%</f>
        <v>185000</v>
      </c>
      <c r="N100" s="22"/>
      <c r="O100" s="22"/>
      <c r="P100" s="22">
        <v>35000</v>
      </c>
      <c r="Q100" s="22"/>
      <c r="R100" s="22"/>
      <c r="S100" s="22"/>
      <c r="T100" s="22">
        <f t="shared" ref="T100" si="101">SUM(L100:S100)</f>
        <v>368000</v>
      </c>
      <c r="U100" s="23">
        <f>+K100-T100</f>
        <v>3982000</v>
      </c>
      <c r="V100" s="23"/>
      <c r="W100" s="64"/>
      <c r="X100" s="23">
        <f t="shared" si="63"/>
        <v>3982000</v>
      </c>
    </row>
    <row r="101" spans="1:24" x14ac:dyDescent="0.25">
      <c r="A101" s="233"/>
      <c r="B101" s="26">
        <v>52</v>
      </c>
      <c r="C101" s="19" t="s">
        <v>154</v>
      </c>
      <c r="D101" s="20" t="s">
        <v>105</v>
      </c>
      <c r="E101" s="22">
        <v>1400000</v>
      </c>
      <c r="F101" s="22">
        <v>29</v>
      </c>
      <c r="G101" s="22">
        <f t="shared" si="93"/>
        <v>1353333.3333333333</v>
      </c>
      <c r="H101" s="22">
        <v>31113</v>
      </c>
      <c r="I101" s="22"/>
      <c r="J101" s="22"/>
      <c r="K101" s="22">
        <f t="shared" si="86"/>
        <v>1384446.3333333333</v>
      </c>
      <c r="L101" s="22">
        <v>56000</v>
      </c>
      <c r="M101" s="22">
        <v>56000</v>
      </c>
      <c r="N101" s="22"/>
      <c r="O101" s="22"/>
      <c r="P101" s="25"/>
      <c r="Q101" s="22"/>
      <c r="R101" s="22"/>
      <c r="S101" s="22"/>
      <c r="T101" s="22">
        <f t="shared" si="43"/>
        <v>112000</v>
      </c>
      <c r="U101" s="23">
        <f>+K101-T101</f>
        <v>1272446.3333333333</v>
      </c>
      <c r="V101" s="23"/>
      <c r="W101" s="64"/>
      <c r="X101" s="23">
        <f t="shared" si="63"/>
        <v>1272446.3333333333</v>
      </c>
    </row>
    <row r="102" spans="1:24" x14ac:dyDescent="0.25">
      <c r="A102" s="233"/>
      <c r="B102" s="26">
        <v>53</v>
      </c>
      <c r="C102" s="30" t="s">
        <v>159</v>
      </c>
      <c r="D102" s="26" t="s">
        <v>32</v>
      </c>
      <c r="E102" s="22">
        <v>1600000</v>
      </c>
      <c r="F102" s="22">
        <v>30</v>
      </c>
      <c r="G102" s="22">
        <v>1333333</v>
      </c>
      <c r="H102" s="22"/>
      <c r="I102" s="22"/>
      <c r="J102" s="22">
        <v>373333</v>
      </c>
      <c r="K102" s="22">
        <f t="shared" si="86"/>
        <v>1706666</v>
      </c>
      <c r="L102" s="22">
        <f>+K102*4%</f>
        <v>68266.64</v>
      </c>
      <c r="M102" s="22">
        <v>68267</v>
      </c>
      <c r="N102" s="22"/>
      <c r="O102" s="22"/>
      <c r="P102" s="22">
        <v>0</v>
      </c>
      <c r="Q102" s="22"/>
      <c r="R102" s="22"/>
      <c r="S102" s="22">
        <v>249127</v>
      </c>
      <c r="T102" s="22">
        <f t="shared" si="43"/>
        <v>385660.64</v>
      </c>
      <c r="U102" s="23">
        <f>K102-T102</f>
        <v>1321005.3599999999</v>
      </c>
      <c r="V102" s="23"/>
      <c r="W102" s="64"/>
      <c r="X102" s="23">
        <f t="shared" si="63"/>
        <v>1321005.3599999999</v>
      </c>
    </row>
    <row r="103" spans="1:24" ht="12.75" thickBot="1" x14ac:dyDescent="0.3">
      <c r="A103" s="233"/>
      <c r="B103" s="26">
        <v>54</v>
      </c>
      <c r="C103" s="19" t="s">
        <v>161</v>
      </c>
      <c r="D103" s="20" t="s">
        <v>32</v>
      </c>
      <c r="E103" s="22">
        <v>689455</v>
      </c>
      <c r="F103" s="22">
        <v>30</v>
      </c>
      <c r="G103" s="22">
        <f>+E103/30*F103</f>
        <v>689455</v>
      </c>
      <c r="H103" s="22">
        <v>77700</v>
      </c>
      <c r="I103" s="22"/>
      <c r="J103" s="68"/>
      <c r="K103" s="22">
        <f t="shared" si="86"/>
        <v>767155</v>
      </c>
      <c r="L103" s="22">
        <f t="shared" si="94"/>
        <v>27578.2</v>
      </c>
      <c r="M103" s="22">
        <f t="shared" ref="M103:M106" si="102">+G103*4%</f>
        <v>27578.2</v>
      </c>
      <c r="N103" s="22"/>
      <c r="O103" s="22"/>
      <c r="P103" s="22">
        <v>0</v>
      </c>
      <c r="Q103" s="22"/>
      <c r="R103" s="22"/>
      <c r="S103" s="22"/>
      <c r="T103" s="22">
        <f t="shared" si="43"/>
        <v>55156.4</v>
      </c>
      <c r="U103" s="23">
        <f>+K103-T103</f>
        <v>711998.6</v>
      </c>
      <c r="V103" s="23"/>
      <c r="W103" s="64"/>
      <c r="X103" s="23">
        <f t="shared" si="63"/>
        <v>711998.6</v>
      </c>
    </row>
    <row r="104" spans="1:24" ht="24.75" thickBot="1" x14ac:dyDescent="0.3">
      <c r="A104" s="234"/>
      <c r="B104" s="26">
        <v>55</v>
      </c>
      <c r="C104" s="19" t="s">
        <v>163</v>
      </c>
      <c r="D104" s="20" t="s">
        <v>32</v>
      </c>
      <c r="E104" s="22">
        <v>1200000</v>
      </c>
      <c r="F104" s="22">
        <v>30</v>
      </c>
      <c r="G104" s="22">
        <f>+E104/30*F104</f>
        <v>1200000</v>
      </c>
      <c r="H104" s="22">
        <v>77700</v>
      </c>
      <c r="I104" s="69"/>
      <c r="J104" s="70">
        <f>+E104-G104</f>
        <v>0</v>
      </c>
      <c r="K104" s="71">
        <f t="shared" si="86"/>
        <v>1277700</v>
      </c>
      <c r="L104" s="22">
        <v>48000</v>
      </c>
      <c r="M104" s="22">
        <v>48000</v>
      </c>
      <c r="N104" s="22"/>
      <c r="O104" s="22"/>
      <c r="P104" s="22">
        <v>0</v>
      </c>
      <c r="Q104" s="22"/>
      <c r="R104" s="22"/>
      <c r="S104" s="22"/>
      <c r="T104" s="22">
        <f t="shared" si="43"/>
        <v>96000</v>
      </c>
      <c r="U104" s="23">
        <f>+K104-T104</f>
        <v>1181700</v>
      </c>
      <c r="V104" s="23"/>
      <c r="W104" s="64"/>
      <c r="X104" s="23">
        <f t="shared" si="63"/>
        <v>1181700</v>
      </c>
    </row>
    <row r="105" spans="1:24" ht="24" x14ac:dyDescent="0.25">
      <c r="A105" s="72"/>
      <c r="B105" s="26">
        <v>56</v>
      </c>
      <c r="C105" s="19" t="s">
        <v>207</v>
      </c>
      <c r="D105" s="20" t="s">
        <v>32</v>
      </c>
      <c r="E105" s="22">
        <v>1100000</v>
      </c>
      <c r="F105" s="22">
        <v>30</v>
      </c>
      <c r="G105" s="22">
        <f>+E105/30*F105</f>
        <v>1100000</v>
      </c>
      <c r="H105" s="22">
        <f>+(77700/30)*F105</f>
        <v>77700</v>
      </c>
      <c r="I105" s="22"/>
      <c r="J105" s="73"/>
      <c r="K105" s="22">
        <f t="shared" ref="K105" si="103">SUM(G105:I105)+J105</f>
        <v>1177700</v>
      </c>
      <c r="L105" s="22">
        <f t="shared" ref="L105" si="104">+G105*4%</f>
        <v>44000</v>
      </c>
      <c r="M105" s="22">
        <f t="shared" ref="M105" si="105">+G105*4%</f>
        <v>44000</v>
      </c>
      <c r="N105" s="22"/>
      <c r="O105" s="22"/>
      <c r="P105" s="22">
        <v>0</v>
      </c>
      <c r="Q105" s="22"/>
      <c r="R105" s="22"/>
      <c r="S105" s="22"/>
      <c r="T105" s="22">
        <f t="shared" si="43"/>
        <v>88000</v>
      </c>
      <c r="U105" s="23">
        <f>+K105-T105</f>
        <v>1089700</v>
      </c>
      <c r="V105" s="23"/>
      <c r="W105" s="64"/>
      <c r="X105" s="23">
        <f t="shared" si="63"/>
        <v>1089700</v>
      </c>
    </row>
    <row r="106" spans="1:24" ht="18.75" customHeight="1" x14ac:dyDescent="0.25">
      <c r="A106" s="72"/>
      <c r="B106" s="26">
        <v>57</v>
      </c>
      <c r="C106" s="19" t="s">
        <v>165</v>
      </c>
      <c r="D106" s="20" t="s">
        <v>32</v>
      </c>
      <c r="E106" s="22">
        <v>2000000</v>
      </c>
      <c r="F106" s="22">
        <v>30</v>
      </c>
      <c r="G106" s="22">
        <f t="shared" ref="G106:G108" si="106">+E106/30*F106</f>
        <v>2000000.0000000002</v>
      </c>
      <c r="H106" s="22"/>
      <c r="I106" s="22"/>
      <c r="J106" s="22"/>
      <c r="K106" s="22">
        <f t="shared" si="86"/>
        <v>2000000.0000000002</v>
      </c>
      <c r="L106" s="22">
        <f t="shared" si="94"/>
        <v>80000.000000000015</v>
      </c>
      <c r="M106" s="22">
        <f t="shared" si="102"/>
        <v>80000.000000000015</v>
      </c>
      <c r="N106" s="22"/>
      <c r="O106" s="22"/>
      <c r="P106" s="22"/>
      <c r="Q106" s="22"/>
      <c r="R106" s="22"/>
      <c r="S106" s="22"/>
      <c r="T106" s="22">
        <f t="shared" si="43"/>
        <v>160000.00000000003</v>
      </c>
      <c r="U106" s="23">
        <f>+K106-T106</f>
        <v>1840000.0000000002</v>
      </c>
      <c r="V106" s="23"/>
      <c r="W106" s="64"/>
      <c r="X106" s="23">
        <f t="shared" si="63"/>
        <v>1840000.0000000002</v>
      </c>
    </row>
    <row r="107" spans="1:24" x14ac:dyDescent="0.25">
      <c r="A107" s="72"/>
      <c r="B107" s="26">
        <v>58</v>
      </c>
      <c r="C107" s="19" t="s">
        <v>176</v>
      </c>
      <c r="D107" s="20" t="s">
        <v>32</v>
      </c>
      <c r="E107" s="22">
        <v>4000000</v>
      </c>
      <c r="F107" s="22">
        <v>30</v>
      </c>
      <c r="G107" s="22">
        <v>3866667</v>
      </c>
      <c r="H107" s="22"/>
      <c r="I107" s="22"/>
      <c r="J107" s="22">
        <v>1466667</v>
      </c>
      <c r="K107" s="22">
        <f t="shared" ref="K107" si="107">SUM(G107:I107)+J107</f>
        <v>5333334</v>
      </c>
      <c r="L107" s="22">
        <v>213333</v>
      </c>
      <c r="M107" s="22">
        <v>266666</v>
      </c>
      <c r="N107" s="22"/>
      <c r="O107" s="22"/>
      <c r="P107" s="22">
        <v>31064</v>
      </c>
      <c r="Q107" s="22"/>
      <c r="R107" s="22"/>
      <c r="S107" s="22"/>
      <c r="T107" s="22">
        <f t="shared" si="43"/>
        <v>511063</v>
      </c>
      <c r="U107" s="23">
        <f>+K107-T107</f>
        <v>4822271</v>
      </c>
      <c r="V107" s="23"/>
      <c r="W107" s="64"/>
      <c r="X107" s="23">
        <f t="shared" si="63"/>
        <v>4822271</v>
      </c>
    </row>
    <row r="108" spans="1:24" ht="24.75" customHeight="1" x14ac:dyDescent="0.25">
      <c r="A108" s="72"/>
      <c r="B108" s="26">
        <v>59</v>
      </c>
      <c r="C108" s="19" t="s">
        <v>166</v>
      </c>
      <c r="D108" s="20" t="s">
        <v>32</v>
      </c>
      <c r="E108" s="22">
        <v>2500000</v>
      </c>
      <c r="F108" s="22">
        <v>30</v>
      </c>
      <c r="G108" s="22">
        <f t="shared" si="106"/>
        <v>2500000</v>
      </c>
      <c r="H108" s="22"/>
      <c r="I108" s="22">
        <v>1500000</v>
      </c>
      <c r="J108" s="22">
        <f>+E108-G108</f>
        <v>0</v>
      </c>
      <c r="K108" s="22">
        <f t="shared" si="86"/>
        <v>4000000</v>
      </c>
      <c r="L108" s="22">
        <v>100000</v>
      </c>
      <c r="M108" s="22">
        <v>100000</v>
      </c>
      <c r="N108" s="22"/>
      <c r="O108" s="22"/>
      <c r="P108" s="22">
        <v>0</v>
      </c>
      <c r="Q108" s="22"/>
      <c r="R108" s="22"/>
      <c r="S108" s="22"/>
      <c r="T108" s="22">
        <f t="shared" si="43"/>
        <v>200000</v>
      </c>
      <c r="U108" s="23">
        <f>K108-T108</f>
        <v>3800000</v>
      </c>
      <c r="V108" s="23"/>
      <c r="W108" s="64"/>
      <c r="X108" s="23">
        <f t="shared" si="63"/>
        <v>3800000</v>
      </c>
    </row>
    <row r="109" spans="1:24" x14ac:dyDescent="0.25">
      <c r="A109" s="26"/>
      <c r="B109" s="26"/>
      <c r="C109" s="19" t="s">
        <v>169</v>
      </c>
      <c r="D109" s="26"/>
      <c r="E109" s="22">
        <f>SUM(E4:E108)</f>
        <v>345971653</v>
      </c>
      <c r="F109" s="22" t="s">
        <v>1</v>
      </c>
      <c r="G109" s="22">
        <f>SUM(G4:G108)</f>
        <v>335184413.83333331</v>
      </c>
      <c r="H109" s="22">
        <f>SUM(H5:H104)</f>
        <v>1352013</v>
      </c>
      <c r="I109" s="22">
        <f>SUM(I5:I104)</f>
        <v>16319987</v>
      </c>
      <c r="J109" s="22">
        <f>SUM(J4:J108)</f>
        <v>12491012</v>
      </c>
      <c r="K109" s="22">
        <f>SUM(K5:K104)</f>
        <v>349599091.83333331</v>
      </c>
      <c r="L109" s="22">
        <f>SUM(L5:L104)</f>
        <v>13175040.379999999</v>
      </c>
      <c r="M109" s="22">
        <f>SUM(M5:M104)</f>
        <v>15868865.184999997</v>
      </c>
      <c r="N109" s="22">
        <f>SUM(N5:N104)</f>
        <v>102400</v>
      </c>
      <c r="O109" s="22">
        <f>SUM(O4:O108)</f>
        <v>0</v>
      </c>
      <c r="P109" s="22">
        <f>SUM(P4:P108)</f>
        <v>4713374</v>
      </c>
      <c r="Q109" s="22">
        <f>SUM(Q5:Q104)</f>
        <v>7500000</v>
      </c>
      <c r="R109" s="22">
        <f>SUM(R5:R104)</f>
        <v>1466279</v>
      </c>
      <c r="S109" s="22">
        <f>SUM(S5:S104)</f>
        <v>10320774</v>
      </c>
      <c r="T109" s="22">
        <f>SUM(T5:T104)</f>
        <v>53096668.564999998</v>
      </c>
      <c r="U109" s="23">
        <f>SUM(U4:U108)</f>
        <v>312417044.26833338</v>
      </c>
      <c r="V109" s="23">
        <f>SUM(V5:V104)</f>
        <v>0</v>
      </c>
      <c r="W109" s="64">
        <f>SUM(W5:W104)</f>
        <v>0</v>
      </c>
      <c r="X109" s="23">
        <f>SUM(X4:X108)</f>
        <v>303770578.66833335</v>
      </c>
    </row>
    <row r="110" spans="1:24" x14ac:dyDescent="0.25">
      <c r="E110" s="76"/>
      <c r="F110" s="76"/>
      <c r="G110" s="76"/>
      <c r="U110" s="77"/>
      <c r="V110" s="77"/>
      <c r="X110" s="77"/>
    </row>
    <row r="111" spans="1:24" x14ac:dyDescent="0.25">
      <c r="D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5"/>
      <c r="W111" s="80"/>
      <c r="X111" s="79"/>
    </row>
    <row r="112" spans="1:24" x14ac:dyDescent="0.25">
      <c r="D112" s="7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5"/>
      <c r="V112" s="75"/>
      <c r="W112" s="80"/>
      <c r="X112" s="79"/>
    </row>
    <row r="113" spans="2:28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5"/>
      <c r="V113" s="75"/>
      <c r="W113" s="80"/>
      <c r="X113" s="79"/>
    </row>
    <row r="114" spans="2:28" x14ac:dyDescent="0.25">
      <c r="C114" s="81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5"/>
      <c r="V114" s="75"/>
      <c r="W114" s="80"/>
      <c r="X114" s="75"/>
      <c r="Y114" s="75"/>
      <c r="Z114" s="75"/>
      <c r="AA114" s="75"/>
      <c r="AB114" s="75"/>
    </row>
    <row r="115" spans="2:28" x14ac:dyDescent="0.25">
      <c r="B115" s="75"/>
      <c r="C115" s="81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76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75"/>
      <c r="Z115" s="75"/>
      <c r="AA115" s="75"/>
      <c r="AB115" s="75"/>
    </row>
    <row r="116" spans="2:28" x14ac:dyDescent="0.25">
      <c r="B116" s="75"/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5"/>
      <c r="V116" s="75"/>
      <c r="W116" s="80"/>
      <c r="X116" s="75"/>
      <c r="Y116" s="75"/>
      <c r="Z116" s="75"/>
      <c r="AA116" s="75"/>
      <c r="AB116" s="75"/>
    </row>
    <row r="117" spans="2:28" x14ac:dyDescent="0.25">
      <c r="B117" s="75"/>
      <c r="C117" s="81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5"/>
      <c r="V117" s="75"/>
      <c r="W117" s="80"/>
      <c r="X117" s="75"/>
      <c r="Y117" s="75"/>
      <c r="Z117" s="75"/>
      <c r="AA117" s="75"/>
      <c r="AB117" s="75"/>
    </row>
    <row r="118" spans="2:28" x14ac:dyDescent="0.25">
      <c r="B118" s="75"/>
      <c r="C118" s="81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5"/>
      <c r="V118" s="75"/>
      <c r="W118" s="80"/>
      <c r="X118" s="75"/>
      <c r="Y118" s="75"/>
      <c r="Z118" s="75"/>
      <c r="AA118" s="75"/>
      <c r="AB118" s="75"/>
    </row>
    <row r="119" spans="2:28" x14ac:dyDescent="0.25">
      <c r="B119" s="75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4"/>
      <c r="W119" s="85"/>
      <c r="X119" s="84"/>
      <c r="Y119" s="75"/>
      <c r="Z119" s="75"/>
      <c r="AA119" s="75"/>
      <c r="AB119" s="75"/>
    </row>
    <row r="120" spans="2:28" x14ac:dyDescent="0.25">
      <c r="B120" s="86"/>
      <c r="C120" s="81"/>
      <c r="D120" s="84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4"/>
      <c r="V120" s="84"/>
      <c r="W120" s="85"/>
      <c r="X120" s="84"/>
      <c r="Y120" s="75"/>
      <c r="Z120" s="75"/>
      <c r="AA120" s="75"/>
      <c r="AB120" s="75"/>
    </row>
    <row r="121" spans="2:28" x14ac:dyDescent="0.25">
      <c r="B121" s="75"/>
      <c r="C121" s="81"/>
      <c r="D121" s="75"/>
      <c r="E121" s="76"/>
      <c r="F121" s="76"/>
      <c r="G121" s="88"/>
      <c r="H121" s="76"/>
      <c r="I121" s="76"/>
      <c r="J121" s="76"/>
      <c r="K121" s="76"/>
      <c r="L121" s="76"/>
      <c r="M121" s="76"/>
      <c r="N121" s="89"/>
      <c r="O121" s="89"/>
      <c r="P121" s="89"/>
      <c r="Q121" s="89"/>
      <c r="R121" s="89"/>
      <c r="S121" s="76"/>
      <c r="T121" s="76"/>
      <c r="U121" s="75"/>
      <c r="V121" s="75"/>
      <c r="W121" s="80"/>
      <c r="X121" s="75"/>
      <c r="Y121" s="75"/>
      <c r="Z121" s="75"/>
      <c r="AA121" s="75"/>
      <c r="AB121" s="75"/>
    </row>
    <row r="122" spans="2:28" x14ac:dyDescent="0.25">
      <c r="B122" s="75"/>
      <c r="C122" s="90"/>
      <c r="D122" s="84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4"/>
      <c r="V122" s="84"/>
      <c r="W122" s="85"/>
      <c r="X122" s="84"/>
      <c r="Y122" s="75"/>
      <c r="Z122" s="75"/>
      <c r="AA122" s="75"/>
      <c r="AB122" s="75"/>
    </row>
    <row r="123" spans="2:28" x14ac:dyDescent="0.25">
      <c r="B123" s="84"/>
      <c r="C123" s="90"/>
      <c r="D123" s="84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4"/>
      <c r="V123" s="84"/>
      <c r="W123" s="85"/>
      <c r="X123" s="84"/>
      <c r="Y123" s="75"/>
      <c r="Z123" s="75"/>
      <c r="AA123" s="75"/>
      <c r="AB123" s="75"/>
    </row>
    <row r="124" spans="2:28" x14ac:dyDescent="0.25">
      <c r="B124" s="75"/>
      <c r="C124" s="90"/>
      <c r="D124" s="8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8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8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8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8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84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81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90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  <c r="Y133" s="75"/>
      <c r="Z133" s="75"/>
      <c r="AA133" s="75"/>
      <c r="AB133" s="75"/>
    </row>
    <row r="134" spans="2:28" x14ac:dyDescent="0.25">
      <c r="C134" s="90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  <c r="Y134" s="75"/>
      <c r="Z134" s="75"/>
      <c r="AA134" s="75"/>
      <c r="AB134" s="75"/>
    </row>
    <row r="135" spans="2:28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  <c r="Y135" s="75"/>
      <c r="Z135" s="75"/>
      <c r="AA135" s="75"/>
      <c r="AB135" s="75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  <c r="Y136" s="75"/>
      <c r="Z136" s="75"/>
      <c r="AA136" s="75"/>
      <c r="AB136" s="75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  <c r="Y137" s="75"/>
      <c r="Z137" s="75"/>
      <c r="AA137" s="75"/>
      <c r="AB137" s="75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  <c r="Y138" s="75"/>
      <c r="Z138" s="75"/>
      <c r="AA138" s="75"/>
      <c r="AB138" s="75"/>
    </row>
    <row r="139" spans="2:28" x14ac:dyDescent="0.25">
      <c r="C139" s="90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  <c r="Y139" s="75"/>
      <c r="Z139" s="75"/>
      <c r="AA139" s="75"/>
      <c r="AB139" s="75"/>
    </row>
    <row r="140" spans="2:28" x14ac:dyDescent="0.25">
      <c r="C140" s="90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  <c r="Y140" s="75"/>
      <c r="Z140" s="75"/>
      <c r="AA140" s="75"/>
      <c r="AB140" s="75"/>
    </row>
    <row r="141" spans="2:28" x14ac:dyDescent="0.25">
      <c r="C141" s="90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9"/>
      <c r="V141" s="79"/>
      <c r="W141" s="80"/>
      <c r="X141" s="79"/>
      <c r="Y141" s="75"/>
      <c r="Z141" s="75"/>
      <c r="AA141" s="75"/>
      <c r="AB141" s="75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5"/>
      <c r="V142" s="75"/>
      <c r="W142" s="80"/>
      <c r="X142" s="75"/>
      <c r="Y142" s="75"/>
      <c r="Z142" s="75"/>
      <c r="AA142" s="75"/>
      <c r="AB142" s="75"/>
    </row>
    <row r="143" spans="2:28" x14ac:dyDescent="0.25">
      <c r="C143" s="81"/>
      <c r="D143" s="75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75"/>
      <c r="S143" s="76"/>
      <c r="T143" s="76"/>
      <c r="U143" s="75"/>
      <c r="V143" s="75"/>
      <c r="W143" s="80"/>
      <c r="X143" s="75"/>
      <c r="Y143" s="75"/>
      <c r="Z143" s="75"/>
      <c r="AA143" s="75"/>
      <c r="AB143" s="75"/>
    </row>
    <row r="144" spans="2:28" x14ac:dyDescent="0.25">
      <c r="B144" s="75"/>
      <c r="C144" s="8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75"/>
      <c r="Z144" s="75"/>
      <c r="AA144" s="75"/>
      <c r="AB144" s="75"/>
    </row>
    <row r="145" spans="2:28" x14ac:dyDescent="0.25">
      <c r="B145" s="75"/>
      <c r="C145" s="81"/>
      <c r="D145" s="75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4"/>
      <c r="V145" s="84"/>
      <c r="W145" s="85"/>
      <c r="X145" s="84"/>
      <c r="Y145" s="75"/>
      <c r="Z145" s="75"/>
      <c r="AA145" s="75"/>
      <c r="AB145" s="75"/>
    </row>
    <row r="146" spans="2:28" x14ac:dyDescent="0.25">
      <c r="B146" s="75"/>
      <c r="C146" s="90"/>
      <c r="D146" s="8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4"/>
      <c r="V146" s="84"/>
      <c r="W146" s="85"/>
      <c r="X146" s="84"/>
    </row>
    <row r="147" spans="2:28" x14ac:dyDescent="0.25">
      <c r="B147" s="91"/>
      <c r="C147" s="90"/>
      <c r="D147" s="84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4"/>
      <c r="V147" s="84"/>
      <c r="W147" s="85"/>
      <c r="X147" s="84"/>
    </row>
    <row r="148" spans="2:28" x14ac:dyDescent="0.25">
      <c r="C148" s="90"/>
      <c r="D148" s="8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9"/>
      <c r="V148" s="79"/>
      <c r="W148" s="80"/>
      <c r="X148" s="79"/>
    </row>
    <row r="149" spans="2:28" x14ac:dyDescent="0.25">
      <c r="C149" s="90"/>
      <c r="D149" s="8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9"/>
      <c r="V149" s="79"/>
      <c r="W149" s="80"/>
      <c r="X149" s="79"/>
    </row>
    <row r="150" spans="2:28" x14ac:dyDescent="0.25">
      <c r="C150" s="90"/>
      <c r="D150" s="84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9"/>
      <c r="V150" s="79"/>
      <c r="W150" s="80"/>
      <c r="X150" s="79"/>
    </row>
    <row r="151" spans="2:28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9"/>
      <c r="V151" s="79"/>
      <c r="W151" s="80"/>
      <c r="X151" s="79"/>
    </row>
    <row r="152" spans="2:28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9"/>
      <c r="V152" s="79"/>
      <c r="W152" s="80"/>
      <c r="X152" s="79"/>
    </row>
    <row r="153" spans="2:28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8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9"/>
      <c r="V154" s="79"/>
      <c r="W154" s="80"/>
      <c r="X154" s="79"/>
    </row>
    <row r="155" spans="2:28" x14ac:dyDescent="0.25">
      <c r="B155" s="75"/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8" x14ac:dyDescent="0.25">
      <c r="B156" s="75"/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8" x14ac:dyDescent="0.25">
      <c r="B157" s="75"/>
      <c r="C157" s="81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92"/>
      <c r="V157" s="92"/>
      <c r="W157" s="80"/>
      <c r="X157" s="92"/>
    </row>
    <row r="158" spans="2:28" x14ac:dyDescent="0.25">
      <c r="B158" s="75"/>
      <c r="C158" s="81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93"/>
      <c r="V158" s="93"/>
      <c r="W158" s="80"/>
      <c r="X158" s="93"/>
    </row>
    <row r="159" spans="2:28" x14ac:dyDescent="0.25">
      <c r="C159" s="81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8" x14ac:dyDescent="0.25">
      <c r="C160" s="81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/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/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/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/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81"/>
      <c r="D166" s="75"/>
      <c r="E166" s="76"/>
      <c r="F166" s="76"/>
      <c r="G166" s="76"/>
      <c r="H166" s="76"/>
      <c r="I166" s="76"/>
      <c r="J166" s="76"/>
      <c r="K166" s="76"/>
      <c r="L166" s="76">
        <v>3003000</v>
      </c>
      <c r="M166" s="76"/>
      <c r="N166" s="76"/>
      <c r="O166" s="76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90"/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5"/>
      <c r="V167" s="75"/>
      <c r="W167" s="80"/>
      <c r="X167" s="75"/>
    </row>
    <row r="168" spans="3:24" x14ac:dyDescent="0.25">
      <c r="C168" s="90"/>
      <c r="D168" s="75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5"/>
      <c r="V168" s="75"/>
      <c r="W168" s="80"/>
      <c r="X168" s="75"/>
    </row>
    <row r="169" spans="3:24" x14ac:dyDescent="0.25">
      <c r="C169" s="90"/>
      <c r="D169" s="7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5"/>
      <c r="V169" s="75"/>
      <c r="W169" s="80"/>
      <c r="X169" s="75"/>
    </row>
    <row r="170" spans="3:24" x14ac:dyDescent="0.25">
      <c r="C170" s="90"/>
      <c r="D170" s="7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5"/>
      <c r="V170" s="75"/>
      <c r="W170" s="80"/>
      <c r="X170" s="75"/>
    </row>
    <row r="171" spans="3:24" x14ac:dyDescent="0.25">
      <c r="C171" s="81">
        <v>42614840</v>
      </c>
      <c r="D171" s="7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>
        <v>412608</v>
      </c>
      <c r="U171" s="75"/>
      <c r="V171" s="75"/>
      <c r="W171" s="80"/>
      <c r="X171" s="75"/>
    </row>
    <row r="172" spans="3:24" x14ac:dyDescent="0.25">
      <c r="C172" s="81">
        <v>9675182</v>
      </c>
      <c r="D172" s="7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>
        <v>1880000</v>
      </c>
      <c r="U172" s="75"/>
      <c r="V172" s="75"/>
      <c r="W172" s="80"/>
      <c r="X172" s="75"/>
    </row>
    <row r="173" spans="3:24" x14ac:dyDescent="0.25">
      <c r="C173" s="81">
        <v>17903600</v>
      </c>
      <c r="D173" s="7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5"/>
      <c r="V173" s="75"/>
      <c r="W173" s="80"/>
      <c r="X173" s="75"/>
    </row>
    <row r="174" spans="3:24" x14ac:dyDescent="0.25">
      <c r="C174" s="81">
        <f>SUM(C171:C173)</f>
        <v>70193622</v>
      </c>
      <c r="D174" s="7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5"/>
      <c r="V174" s="75"/>
      <c r="W174" s="80"/>
      <c r="X174" s="75"/>
    </row>
    <row r="175" spans="3:24" x14ac:dyDescent="0.25">
      <c r="C175" s="81">
        <v>400000</v>
      </c>
      <c r="D175" s="75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5"/>
      <c r="V175" s="75"/>
      <c r="W175" s="80"/>
      <c r="X175" s="75"/>
    </row>
    <row r="176" spans="3:24" x14ac:dyDescent="0.25">
      <c r="C176" s="81">
        <f>+C174+C175</f>
        <v>70593622</v>
      </c>
      <c r="D176" s="75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5"/>
      <c r="V176" s="75"/>
      <c r="W176" s="80"/>
      <c r="X176" s="75"/>
    </row>
    <row r="179" spans="3:3" x14ac:dyDescent="0.25">
      <c r="C179" s="74">
        <v>64000000</v>
      </c>
    </row>
    <row r="180" spans="3:3" x14ac:dyDescent="0.25">
      <c r="C180" s="74">
        <v>11000000</v>
      </c>
    </row>
    <row r="181" spans="3:3" x14ac:dyDescent="0.25">
      <c r="C181" s="74">
        <f>+C179+C180</f>
        <v>75000000</v>
      </c>
    </row>
    <row r="185" spans="3:3" x14ac:dyDescent="0.25">
      <c r="C185" s="74">
        <v>2745000</v>
      </c>
    </row>
    <row r="186" spans="3:3" x14ac:dyDescent="0.25">
      <c r="C186" s="74">
        <v>3185000</v>
      </c>
    </row>
    <row r="187" spans="3:3" x14ac:dyDescent="0.25">
      <c r="C187" s="74">
        <v>1080000</v>
      </c>
    </row>
    <row r="188" spans="3:3" x14ac:dyDescent="0.25">
      <c r="C188" s="74">
        <v>4850100</v>
      </c>
    </row>
    <row r="189" spans="3:3" x14ac:dyDescent="0.25">
      <c r="C189" s="74">
        <v>5027500</v>
      </c>
    </row>
    <row r="190" spans="3:3" x14ac:dyDescent="0.25">
      <c r="C190" s="74">
        <v>4566000</v>
      </c>
    </row>
    <row r="191" spans="3:3" x14ac:dyDescent="0.25">
      <c r="C191" s="74">
        <v>1050000</v>
      </c>
    </row>
    <row r="192" spans="3:3" x14ac:dyDescent="0.25">
      <c r="C192" s="74">
        <v>3877333</v>
      </c>
    </row>
    <row r="193" spans="3:3" x14ac:dyDescent="0.25">
      <c r="C193" s="74">
        <v>6732440</v>
      </c>
    </row>
    <row r="194" spans="3:3" x14ac:dyDescent="0.25">
      <c r="C194" s="74">
        <v>3460000</v>
      </c>
    </row>
    <row r="195" spans="3:3" x14ac:dyDescent="0.25">
      <c r="C195" s="74">
        <v>588800</v>
      </c>
    </row>
    <row r="196" spans="3:3" x14ac:dyDescent="0.25">
      <c r="C196" s="74">
        <v>1868000</v>
      </c>
    </row>
    <row r="197" spans="3:3" x14ac:dyDescent="0.25">
      <c r="C197" s="74">
        <v>10313000</v>
      </c>
    </row>
    <row r="198" spans="3:3" x14ac:dyDescent="0.25">
      <c r="C198" s="74">
        <v>3443800</v>
      </c>
    </row>
    <row r="199" spans="3:3" x14ac:dyDescent="0.25">
      <c r="C199" s="74">
        <v>8136400</v>
      </c>
    </row>
    <row r="200" spans="3:3" x14ac:dyDescent="0.25">
      <c r="C200" s="74">
        <v>9675183</v>
      </c>
    </row>
    <row r="201" spans="3:3" x14ac:dyDescent="0.25">
      <c r="C201" s="74">
        <f>SUM(C185:C200)</f>
        <v>70598556</v>
      </c>
    </row>
  </sheetData>
  <mergeCells count="7">
    <mergeCell ref="D144:X144"/>
    <mergeCell ref="C1:U1"/>
    <mergeCell ref="E2:K2"/>
    <mergeCell ref="L2:T2"/>
    <mergeCell ref="A3:A49"/>
    <mergeCell ref="A50:A104"/>
    <mergeCell ref="E143:Q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C180"/>
  <sheetViews>
    <sheetView workbookViewId="0">
      <selection activeCell="N16" sqref="N16"/>
    </sheetView>
  </sheetViews>
  <sheetFormatPr baseColWidth="10" defaultRowHeight="9" x14ac:dyDescent="0.25"/>
  <cols>
    <col min="1" max="1" width="10.42578125" style="123" customWidth="1"/>
    <col min="2" max="2" width="4.85546875" style="123" customWidth="1"/>
    <col min="3" max="3" width="35.7109375" style="130" bestFit="1" customWidth="1"/>
    <col min="4" max="4" width="11" style="123" customWidth="1"/>
    <col min="5" max="5" width="9.85546875" style="133" customWidth="1"/>
    <col min="6" max="6" width="6.140625" style="133" customWidth="1"/>
    <col min="7" max="7" width="10.28515625" style="133" customWidth="1"/>
    <col min="8" max="8" width="8.7109375" style="133" customWidth="1"/>
    <col min="9" max="9" width="9.42578125" style="133" customWidth="1"/>
    <col min="10" max="10" width="7.5703125" style="133" hidden="1" customWidth="1"/>
    <col min="11" max="11" width="9.5703125" style="133" customWidth="1"/>
    <col min="12" max="12" width="9.28515625" style="133" customWidth="1"/>
    <col min="13" max="13" width="9.42578125" style="133" customWidth="1"/>
    <col min="14" max="14" width="10.42578125" style="133" customWidth="1"/>
    <col min="15" max="15" width="17.7109375" style="133" hidden="1" customWidth="1"/>
    <col min="16" max="16" width="9.28515625" style="133" customWidth="1"/>
    <col min="17" max="18" width="7.85546875" style="133" customWidth="1"/>
    <col min="19" max="19" width="8" style="133" customWidth="1"/>
    <col min="20" max="20" width="9.7109375" style="133" customWidth="1"/>
    <col min="21" max="21" width="12.85546875" style="123" customWidth="1"/>
    <col min="22" max="22" width="4.42578125" style="123" customWidth="1"/>
    <col min="23" max="23" width="7.28515625" style="135" customWidth="1"/>
    <col min="24" max="24" width="14.28515625" style="123" customWidth="1"/>
    <col min="25" max="25" width="31.140625" style="130" customWidth="1"/>
    <col min="26" max="247" width="11.42578125" style="123"/>
    <col min="248" max="248" width="10.5703125" style="123" customWidth="1"/>
    <col min="249" max="249" width="4.85546875" style="123" customWidth="1"/>
    <col min="250" max="250" width="32.42578125" style="123" customWidth="1"/>
    <col min="251" max="251" width="9.85546875" style="123" customWidth="1"/>
    <col min="252" max="252" width="10.140625" style="123" customWidth="1"/>
    <col min="253" max="253" width="12.28515625" style="123" customWidth="1"/>
    <col min="254" max="254" width="15.42578125" style="123" customWidth="1"/>
    <col min="255" max="255" width="11.85546875" style="123" customWidth="1"/>
    <col min="256" max="256" width="13.28515625" style="123" customWidth="1"/>
    <col min="257" max="257" width="15.28515625" style="123" customWidth="1"/>
    <col min="258" max="258" width="11.85546875" style="123" customWidth="1"/>
    <col min="259" max="259" width="6.140625" style="123" customWidth="1"/>
    <col min="260" max="260" width="11.85546875" style="123" customWidth="1"/>
    <col min="261" max="261" width="9.42578125" style="123" customWidth="1"/>
    <col min="262" max="262" width="14.7109375" style="123" customWidth="1"/>
    <col min="263" max="263" width="11.5703125" style="123" customWidth="1"/>
    <col min="264" max="264" width="0.42578125" style="123" customWidth="1"/>
    <col min="265" max="265" width="10.5703125" style="123" bestFit="1" customWidth="1"/>
    <col min="266" max="266" width="12.28515625" style="123" customWidth="1"/>
    <col min="267" max="267" width="12.5703125" style="123" customWidth="1"/>
    <col min="268" max="268" width="10.5703125" style="123" customWidth="1"/>
    <col min="269" max="269" width="10.140625" style="123" customWidth="1"/>
    <col min="270" max="270" width="8.42578125" style="123" customWidth="1"/>
    <col min="271" max="271" width="18.85546875" style="123" customWidth="1"/>
    <col min="272" max="272" width="10.28515625" style="123" customWidth="1"/>
    <col min="273" max="273" width="11.42578125" style="123"/>
    <col min="274" max="274" width="12.140625" style="123" customWidth="1"/>
    <col min="275" max="275" width="10.5703125" style="123" customWidth="1"/>
    <col min="276" max="276" width="12.42578125" style="123" customWidth="1"/>
    <col min="277" max="277" width="15.140625" style="123" customWidth="1"/>
    <col min="278" max="278" width="13.5703125" style="123" customWidth="1"/>
    <col min="279" max="279" width="13.140625" style="123" customWidth="1"/>
    <col min="280" max="280" width="15.7109375" style="123" customWidth="1"/>
    <col min="281" max="281" width="37.5703125" style="123" customWidth="1"/>
    <col min="282" max="503" width="11.42578125" style="123"/>
    <col min="504" max="504" width="10.5703125" style="123" customWidth="1"/>
    <col min="505" max="505" width="4.85546875" style="123" customWidth="1"/>
    <col min="506" max="506" width="32.42578125" style="123" customWidth="1"/>
    <col min="507" max="507" width="9.85546875" style="123" customWidth="1"/>
    <col min="508" max="508" width="10.140625" style="123" customWidth="1"/>
    <col min="509" max="509" width="12.28515625" style="123" customWidth="1"/>
    <col min="510" max="510" width="15.42578125" style="123" customWidth="1"/>
    <col min="511" max="511" width="11.85546875" style="123" customWidth="1"/>
    <col min="512" max="512" width="13.28515625" style="123" customWidth="1"/>
    <col min="513" max="513" width="15.28515625" style="123" customWidth="1"/>
    <col min="514" max="514" width="11.85546875" style="123" customWidth="1"/>
    <col min="515" max="515" width="6.140625" style="123" customWidth="1"/>
    <col min="516" max="516" width="11.85546875" style="123" customWidth="1"/>
    <col min="517" max="517" width="9.42578125" style="123" customWidth="1"/>
    <col min="518" max="518" width="14.7109375" style="123" customWidth="1"/>
    <col min="519" max="519" width="11.5703125" style="123" customWidth="1"/>
    <col min="520" max="520" width="0.42578125" style="123" customWidth="1"/>
    <col min="521" max="521" width="10.5703125" style="123" bestFit="1" customWidth="1"/>
    <col min="522" max="522" width="12.28515625" style="123" customWidth="1"/>
    <col min="523" max="523" width="12.5703125" style="123" customWidth="1"/>
    <col min="524" max="524" width="10.5703125" style="123" customWidth="1"/>
    <col min="525" max="525" width="10.140625" style="123" customWidth="1"/>
    <col min="526" max="526" width="8.42578125" style="123" customWidth="1"/>
    <col min="527" max="527" width="18.85546875" style="123" customWidth="1"/>
    <col min="528" max="528" width="10.28515625" style="123" customWidth="1"/>
    <col min="529" max="529" width="11.42578125" style="123"/>
    <col min="530" max="530" width="12.140625" style="123" customWidth="1"/>
    <col min="531" max="531" width="10.5703125" style="123" customWidth="1"/>
    <col min="532" max="532" width="12.42578125" style="123" customWidth="1"/>
    <col min="533" max="533" width="15.140625" style="123" customWidth="1"/>
    <col min="534" max="534" width="13.5703125" style="123" customWidth="1"/>
    <col min="535" max="535" width="13.140625" style="123" customWidth="1"/>
    <col min="536" max="536" width="15.7109375" style="123" customWidth="1"/>
    <col min="537" max="537" width="37.5703125" style="123" customWidth="1"/>
    <col min="538" max="759" width="11.42578125" style="123"/>
    <col min="760" max="760" width="10.5703125" style="123" customWidth="1"/>
    <col min="761" max="761" width="4.85546875" style="123" customWidth="1"/>
    <col min="762" max="762" width="32.42578125" style="123" customWidth="1"/>
    <col min="763" max="763" width="9.85546875" style="123" customWidth="1"/>
    <col min="764" max="764" width="10.140625" style="123" customWidth="1"/>
    <col min="765" max="765" width="12.28515625" style="123" customWidth="1"/>
    <col min="766" max="766" width="15.42578125" style="123" customWidth="1"/>
    <col min="767" max="767" width="11.85546875" style="123" customWidth="1"/>
    <col min="768" max="768" width="13.28515625" style="123" customWidth="1"/>
    <col min="769" max="769" width="15.28515625" style="123" customWidth="1"/>
    <col min="770" max="770" width="11.85546875" style="123" customWidth="1"/>
    <col min="771" max="771" width="6.140625" style="123" customWidth="1"/>
    <col min="772" max="772" width="11.85546875" style="123" customWidth="1"/>
    <col min="773" max="773" width="9.42578125" style="123" customWidth="1"/>
    <col min="774" max="774" width="14.7109375" style="123" customWidth="1"/>
    <col min="775" max="775" width="11.5703125" style="123" customWidth="1"/>
    <col min="776" max="776" width="0.42578125" style="123" customWidth="1"/>
    <col min="777" max="777" width="10.5703125" style="123" bestFit="1" customWidth="1"/>
    <col min="778" max="778" width="12.28515625" style="123" customWidth="1"/>
    <col min="779" max="779" width="12.5703125" style="123" customWidth="1"/>
    <col min="780" max="780" width="10.5703125" style="123" customWidth="1"/>
    <col min="781" max="781" width="10.140625" style="123" customWidth="1"/>
    <col min="782" max="782" width="8.42578125" style="123" customWidth="1"/>
    <col min="783" max="783" width="18.85546875" style="123" customWidth="1"/>
    <col min="784" max="784" width="10.28515625" style="123" customWidth="1"/>
    <col min="785" max="785" width="11.42578125" style="123"/>
    <col min="786" max="786" width="12.140625" style="123" customWidth="1"/>
    <col min="787" max="787" width="10.5703125" style="123" customWidth="1"/>
    <col min="788" max="788" width="12.42578125" style="123" customWidth="1"/>
    <col min="789" max="789" width="15.140625" style="123" customWidth="1"/>
    <col min="790" max="790" width="13.5703125" style="123" customWidth="1"/>
    <col min="791" max="791" width="13.140625" style="123" customWidth="1"/>
    <col min="792" max="792" width="15.7109375" style="123" customWidth="1"/>
    <col min="793" max="793" width="37.5703125" style="123" customWidth="1"/>
    <col min="794" max="1015" width="11.42578125" style="123"/>
    <col min="1016" max="1016" width="10.5703125" style="123" customWidth="1"/>
    <col min="1017" max="1017" width="4.85546875" style="123" customWidth="1"/>
    <col min="1018" max="1018" width="32.42578125" style="123" customWidth="1"/>
    <col min="1019" max="1019" width="9.85546875" style="123" customWidth="1"/>
    <col min="1020" max="1020" width="10.140625" style="123" customWidth="1"/>
    <col min="1021" max="1021" width="12.28515625" style="123" customWidth="1"/>
    <col min="1022" max="1022" width="15.42578125" style="123" customWidth="1"/>
    <col min="1023" max="1023" width="11.85546875" style="123" customWidth="1"/>
    <col min="1024" max="1024" width="13.28515625" style="123" customWidth="1"/>
    <col min="1025" max="1025" width="15.28515625" style="123" customWidth="1"/>
    <col min="1026" max="1026" width="11.85546875" style="123" customWidth="1"/>
    <col min="1027" max="1027" width="6.140625" style="123" customWidth="1"/>
    <col min="1028" max="1028" width="11.85546875" style="123" customWidth="1"/>
    <col min="1029" max="1029" width="9.42578125" style="123" customWidth="1"/>
    <col min="1030" max="1030" width="14.7109375" style="123" customWidth="1"/>
    <col min="1031" max="1031" width="11.5703125" style="123" customWidth="1"/>
    <col min="1032" max="1032" width="0.42578125" style="123" customWidth="1"/>
    <col min="1033" max="1033" width="10.5703125" style="123" bestFit="1" customWidth="1"/>
    <col min="1034" max="1034" width="12.28515625" style="123" customWidth="1"/>
    <col min="1035" max="1035" width="12.5703125" style="123" customWidth="1"/>
    <col min="1036" max="1036" width="10.5703125" style="123" customWidth="1"/>
    <col min="1037" max="1037" width="10.140625" style="123" customWidth="1"/>
    <col min="1038" max="1038" width="8.42578125" style="123" customWidth="1"/>
    <col min="1039" max="1039" width="18.85546875" style="123" customWidth="1"/>
    <col min="1040" max="1040" width="10.28515625" style="123" customWidth="1"/>
    <col min="1041" max="1041" width="11.42578125" style="123"/>
    <col min="1042" max="1042" width="12.140625" style="123" customWidth="1"/>
    <col min="1043" max="1043" width="10.5703125" style="123" customWidth="1"/>
    <col min="1044" max="1044" width="12.42578125" style="123" customWidth="1"/>
    <col min="1045" max="1045" width="15.140625" style="123" customWidth="1"/>
    <col min="1046" max="1046" width="13.5703125" style="123" customWidth="1"/>
    <col min="1047" max="1047" width="13.140625" style="123" customWidth="1"/>
    <col min="1048" max="1048" width="15.7109375" style="123" customWidth="1"/>
    <col min="1049" max="1049" width="37.5703125" style="123" customWidth="1"/>
    <col min="1050" max="1271" width="11.42578125" style="123"/>
    <col min="1272" max="1272" width="10.5703125" style="123" customWidth="1"/>
    <col min="1273" max="1273" width="4.85546875" style="123" customWidth="1"/>
    <col min="1274" max="1274" width="32.42578125" style="123" customWidth="1"/>
    <col min="1275" max="1275" width="9.85546875" style="123" customWidth="1"/>
    <col min="1276" max="1276" width="10.140625" style="123" customWidth="1"/>
    <col min="1277" max="1277" width="12.28515625" style="123" customWidth="1"/>
    <col min="1278" max="1278" width="15.42578125" style="123" customWidth="1"/>
    <col min="1279" max="1279" width="11.85546875" style="123" customWidth="1"/>
    <col min="1280" max="1280" width="13.28515625" style="123" customWidth="1"/>
    <col min="1281" max="1281" width="15.28515625" style="123" customWidth="1"/>
    <col min="1282" max="1282" width="11.85546875" style="123" customWidth="1"/>
    <col min="1283" max="1283" width="6.140625" style="123" customWidth="1"/>
    <col min="1284" max="1284" width="11.85546875" style="123" customWidth="1"/>
    <col min="1285" max="1285" width="9.42578125" style="123" customWidth="1"/>
    <col min="1286" max="1286" width="14.7109375" style="123" customWidth="1"/>
    <col min="1287" max="1287" width="11.5703125" style="123" customWidth="1"/>
    <col min="1288" max="1288" width="0.42578125" style="123" customWidth="1"/>
    <col min="1289" max="1289" width="10.5703125" style="123" bestFit="1" customWidth="1"/>
    <col min="1290" max="1290" width="12.28515625" style="123" customWidth="1"/>
    <col min="1291" max="1291" width="12.5703125" style="123" customWidth="1"/>
    <col min="1292" max="1292" width="10.5703125" style="123" customWidth="1"/>
    <col min="1293" max="1293" width="10.140625" style="123" customWidth="1"/>
    <col min="1294" max="1294" width="8.42578125" style="123" customWidth="1"/>
    <col min="1295" max="1295" width="18.85546875" style="123" customWidth="1"/>
    <col min="1296" max="1296" width="10.28515625" style="123" customWidth="1"/>
    <col min="1297" max="1297" width="11.42578125" style="123"/>
    <col min="1298" max="1298" width="12.140625" style="123" customWidth="1"/>
    <col min="1299" max="1299" width="10.5703125" style="123" customWidth="1"/>
    <col min="1300" max="1300" width="12.42578125" style="123" customWidth="1"/>
    <col min="1301" max="1301" width="15.140625" style="123" customWidth="1"/>
    <col min="1302" max="1302" width="13.5703125" style="123" customWidth="1"/>
    <col min="1303" max="1303" width="13.140625" style="123" customWidth="1"/>
    <col min="1304" max="1304" width="15.7109375" style="123" customWidth="1"/>
    <col min="1305" max="1305" width="37.5703125" style="123" customWidth="1"/>
    <col min="1306" max="1527" width="11.42578125" style="123"/>
    <col min="1528" max="1528" width="10.5703125" style="123" customWidth="1"/>
    <col min="1529" max="1529" width="4.85546875" style="123" customWidth="1"/>
    <col min="1530" max="1530" width="32.42578125" style="123" customWidth="1"/>
    <col min="1531" max="1531" width="9.85546875" style="123" customWidth="1"/>
    <col min="1532" max="1532" width="10.140625" style="123" customWidth="1"/>
    <col min="1533" max="1533" width="12.28515625" style="123" customWidth="1"/>
    <col min="1534" max="1534" width="15.42578125" style="123" customWidth="1"/>
    <col min="1535" max="1535" width="11.85546875" style="123" customWidth="1"/>
    <col min="1536" max="1536" width="13.28515625" style="123" customWidth="1"/>
    <col min="1537" max="1537" width="15.28515625" style="123" customWidth="1"/>
    <col min="1538" max="1538" width="11.85546875" style="123" customWidth="1"/>
    <col min="1539" max="1539" width="6.140625" style="123" customWidth="1"/>
    <col min="1540" max="1540" width="11.85546875" style="123" customWidth="1"/>
    <col min="1541" max="1541" width="9.42578125" style="123" customWidth="1"/>
    <col min="1542" max="1542" width="14.7109375" style="123" customWidth="1"/>
    <col min="1543" max="1543" width="11.5703125" style="123" customWidth="1"/>
    <col min="1544" max="1544" width="0.42578125" style="123" customWidth="1"/>
    <col min="1545" max="1545" width="10.5703125" style="123" bestFit="1" customWidth="1"/>
    <col min="1546" max="1546" width="12.28515625" style="123" customWidth="1"/>
    <col min="1547" max="1547" width="12.5703125" style="123" customWidth="1"/>
    <col min="1548" max="1548" width="10.5703125" style="123" customWidth="1"/>
    <col min="1549" max="1549" width="10.140625" style="123" customWidth="1"/>
    <col min="1550" max="1550" width="8.42578125" style="123" customWidth="1"/>
    <col min="1551" max="1551" width="18.85546875" style="123" customWidth="1"/>
    <col min="1552" max="1552" width="10.28515625" style="123" customWidth="1"/>
    <col min="1553" max="1553" width="11.42578125" style="123"/>
    <col min="1554" max="1554" width="12.140625" style="123" customWidth="1"/>
    <col min="1555" max="1555" width="10.5703125" style="123" customWidth="1"/>
    <col min="1556" max="1556" width="12.42578125" style="123" customWidth="1"/>
    <col min="1557" max="1557" width="15.140625" style="123" customWidth="1"/>
    <col min="1558" max="1558" width="13.5703125" style="123" customWidth="1"/>
    <col min="1559" max="1559" width="13.140625" style="123" customWidth="1"/>
    <col min="1560" max="1560" width="15.7109375" style="123" customWidth="1"/>
    <col min="1561" max="1561" width="37.5703125" style="123" customWidth="1"/>
    <col min="1562" max="1783" width="11.42578125" style="123"/>
    <col min="1784" max="1784" width="10.5703125" style="123" customWidth="1"/>
    <col min="1785" max="1785" width="4.85546875" style="123" customWidth="1"/>
    <col min="1786" max="1786" width="32.42578125" style="123" customWidth="1"/>
    <col min="1787" max="1787" width="9.85546875" style="123" customWidth="1"/>
    <col min="1788" max="1788" width="10.140625" style="123" customWidth="1"/>
    <col min="1789" max="1789" width="12.28515625" style="123" customWidth="1"/>
    <col min="1790" max="1790" width="15.42578125" style="123" customWidth="1"/>
    <col min="1791" max="1791" width="11.85546875" style="123" customWidth="1"/>
    <col min="1792" max="1792" width="13.28515625" style="123" customWidth="1"/>
    <col min="1793" max="1793" width="15.28515625" style="123" customWidth="1"/>
    <col min="1794" max="1794" width="11.85546875" style="123" customWidth="1"/>
    <col min="1795" max="1795" width="6.140625" style="123" customWidth="1"/>
    <col min="1796" max="1796" width="11.85546875" style="123" customWidth="1"/>
    <col min="1797" max="1797" width="9.42578125" style="123" customWidth="1"/>
    <col min="1798" max="1798" width="14.7109375" style="123" customWidth="1"/>
    <col min="1799" max="1799" width="11.5703125" style="123" customWidth="1"/>
    <col min="1800" max="1800" width="0.42578125" style="123" customWidth="1"/>
    <col min="1801" max="1801" width="10.5703125" style="123" bestFit="1" customWidth="1"/>
    <col min="1802" max="1802" width="12.28515625" style="123" customWidth="1"/>
    <col min="1803" max="1803" width="12.5703125" style="123" customWidth="1"/>
    <col min="1804" max="1804" width="10.5703125" style="123" customWidth="1"/>
    <col min="1805" max="1805" width="10.140625" style="123" customWidth="1"/>
    <col min="1806" max="1806" width="8.42578125" style="123" customWidth="1"/>
    <col min="1807" max="1807" width="18.85546875" style="123" customWidth="1"/>
    <col min="1808" max="1808" width="10.28515625" style="123" customWidth="1"/>
    <col min="1809" max="1809" width="11.42578125" style="123"/>
    <col min="1810" max="1810" width="12.140625" style="123" customWidth="1"/>
    <col min="1811" max="1811" width="10.5703125" style="123" customWidth="1"/>
    <col min="1812" max="1812" width="12.42578125" style="123" customWidth="1"/>
    <col min="1813" max="1813" width="15.140625" style="123" customWidth="1"/>
    <col min="1814" max="1814" width="13.5703125" style="123" customWidth="1"/>
    <col min="1815" max="1815" width="13.140625" style="123" customWidth="1"/>
    <col min="1816" max="1816" width="15.7109375" style="123" customWidth="1"/>
    <col min="1817" max="1817" width="37.5703125" style="123" customWidth="1"/>
    <col min="1818" max="2039" width="11.42578125" style="123"/>
    <col min="2040" max="2040" width="10.5703125" style="123" customWidth="1"/>
    <col min="2041" max="2041" width="4.85546875" style="123" customWidth="1"/>
    <col min="2042" max="2042" width="32.42578125" style="123" customWidth="1"/>
    <col min="2043" max="2043" width="9.85546875" style="123" customWidth="1"/>
    <col min="2044" max="2044" width="10.140625" style="123" customWidth="1"/>
    <col min="2045" max="2045" width="12.28515625" style="123" customWidth="1"/>
    <col min="2046" max="2046" width="15.42578125" style="123" customWidth="1"/>
    <col min="2047" max="2047" width="11.85546875" style="123" customWidth="1"/>
    <col min="2048" max="2048" width="13.28515625" style="123" customWidth="1"/>
    <col min="2049" max="2049" width="15.28515625" style="123" customWidth="1"/>
    <col min="2050" max="2050" width="11.85546875" style="123" customWidth="1"/>
    <col min="2051" max="2051" width="6.140625" style="123" customWidth="1"/>
    <col min="2052" max="2052" width="11.85546875" style="123" customWidth="1"/>
    <col min="2053" max="2053" width="9.42578125" style="123" customWidth="1"/>
    <col min="2054" max="2054" width="14.7109375" style="123" customWidth="1"/>
    <col min="2055" max="2055" width="11.5703125" style="123" customWidth="1"/>
    <col min="2056" max="2056" width="0.42578125" style="123" customWidth="1"/>
    <col min="2057" max="2057" width="10.5703125" style="123" bestFit="1" customWidth="1"/>
    <col min="2058" max="2058" width="12.28515625" style="123" customWidth="1"/>
    <col min="2059" max="2059" width="12.5703125" style="123" customWidth="1"/>
    <col min="2060" max="2060" width="10.5703125" style="123" customWidth="1"/>
    <col min="2061" max="2061" width="10.140625" style="123" customWidth="1"/>
    <col min="2062" max="2062" width="8.42578125" style="123" customWidth="1"/>
    <col min="2063" max="2063" width="18.85546875" style="123" customWidth="1"/>
    <col min="2064" max="2064" width="10.28515625" style="123" customWidth="1"/>
    <col min="2065" max="2065" width="11.42578125" style="123"/>
    <col min="2066" max="2066" width="12.140625" style="123" customWidth="1"/>
    <col min="2067" max="2067" width="10.5703125" style="123" customWidth="1"/>
    <col min="2068" max="2068" width="12.42578125" style="123" customWidth="1"/>
    <col min="2069" max="2069" width="15.140625" style="123" customWidth="1"/>
    <col min="2070" max="2070" width="13.5703125" style="123" customWidth="1"/>
    <col min="2071" max="2071" width="13.140625" style="123" customWidth="1"/>
    <col min="2072" max="2072" width="15.7109375" style="123" customWidth="1"/>
    <col min="2073" max="2073" width="37.5703125" style="123" customWidth="1"/>
    <col min="2074" max="2295" width="11.42578125" style="123"/>
    <col min="2296" max="2296" width="10.5703125" style="123" customWidth="1"/>
    <col min="2297" max="2297" width="4.85546875" style="123" customWidth="1"/>
    <col min="2298" max="2298" width="32.42578125" style="123" customWidth="1"/>
    <col min="2299" max="2299" width="9.85546875" style="123" customWidth="1"/>
    <col min="2300" max="2300" width="10.140625" style="123" customWidth="1"/>
    <col min="2301" max="2301" width="12.28515625" style="123" customWidth="1"/>
    <col min="2302" max="2302" width="15.42578125" style="123" customWidth="1"/>
    <col min="2303" max="2303" width="11.85546875" style="123" customWidth="1"/>
    <col min="2304" max="2304" width="13.28515625" style="123" customWidth="1"/>
    <col min="2305" max="2305" width="15.28515625" style="123" customWidth="1"/>
    <col min="2306" max="2306" width="11.85546875" style="123" customWidth="1"/>
    <col min="2307" max="2307" width="6.140625" style="123" customWidth="1"/>
    <col min="2308" max="2308" width="11.85546875" style="123" customWidth="1"/>
    <col min="2309" max="2309" width="9.42578125" style="123" customWidth="1"/>
    <col min="2310" max="2310" width="14.7109375" style="123" customWidth="1"/>
    <col min="2311" max="2311" width="11.5703125" style="123" customWidth="1"/>
    <col min="2312" max="2312" width="0.42578125" style="123" customWidth="1"/>
    <col min="2313" max="2313" width="10.5703125" style="123" bestFit="1" customWidth="1"/>
    <col min="2314" max="2314" width="12.28515625" style="123" customWidth="1"/>
    <col min="2315" max="2315" width="12.5703125" style="123" customWidth="1"/>
    <col min="2316" max="2316" width="10.5703125" style="123" customWidth="1"/>
    <col min="2317" max="2317" width="10.140625" style="123" customWidth="1"/>
    <col min="2318" max="2318" width="8.42578125" style="123" customWidth="1"/>
    <col min="2319" max="2319" width="18.85546875" style="123" customWidth="1"/>
    <col min="2320" max="2320" width="10.28515625" style="123" customWidth="1"/>
    <col min="2321" max="2321" width="11.42578125" style="123"/>
    <col min="2322" max="2322" width="12.140625" style="123" customWidth="1"/>
    <col min="2323" max="2323" width="10.5703125" style="123" customWidth="1"/>
    <col min="2324" max="2324" width="12.42578125" style="123" customWidth="1"/>
    <col min="2325" max="2325" width="15.140625" style="123" customWidth="1"/>
    <col min="2326" max="2326" width="13.5703125" style="123" customWidth="1"/>
    <col min="2327" max="2327" width="13.140625" style="123" customWidth="1"/>
    <col min="2328" max="2328" width="15.7109375" style="123" customWidth="1"/>
    <col min="2329" max="2329" width="37.5703125" style="123" customWidth="1"/>
    <col min="2330" max="2551" width="11.42578125" style="123"/>
    <col min="2552" max="2552" width="10.5703125" style="123" customWidth="1"/>
    <col min="2553" max="2553" width="4.85546875" style="123" customWidth="1"/>
    <col min="2554" max="2554" width="32.42578125" style="123" customWidth="1"/>
    <col min="2555" max="2555" width="9.85546875" style="123" customWidth="1"/>
    <col min="2556" max="2556" width="10.140625" style="123" customWidth="1"/>
    <col min="2557" max="2557" width="12.28515625" style="123" customWidth="1"/>
    <col min="2558" max="2558" width="15.42578125" style="123" customWidth="1"/>
    <col min="2559" max="2559" width="11.85546875" style="123" customWidth="1"/>
    <col min="2560" max="2560" width="13.28515625" style="123" customWidth="1"/>
    <col min="2561" max="2561" width="15.28515625" style="123" customWidth="1"/>
    <col min="2562" max="2562" width="11.85546875" style="123" customWidth="1"/>
    <col min="2563" max="2563" width="6.140625" style="123" customWidth="1"/>
    <col min="2564" max="2564" width="11.85546875" style="123" customWidth="1"/>
    <col min="2565" max="2565" width="9.42578125" style="123" customWidth="1"/>
    <col min="2566" max="2566" width="14.7109375" style="123" customWidth="1"/>
    <col min="2567" max="2567" width="11.5703125" style="123" customWidth="1"/>
    <col min="2568" max="2568" width="0.42578125" style="123" customWidth="1"/>
    <col min="2569" max="2569" width="10.5703125" style="123" bestFit="1" customWidth="1"/>
    <col min="2570" max="2570" width="12.28515625" style="123" customWidth="1"/>
    <col min="2571" max="2571" width="12.5703125" style="123" customWidth="1"/>
    <col min="2572" max="2572" width="10.5703125" style="123" customWidth="1"/>
    <col min="2573" max="2573" width="10.140625" style="123" customWidth="1"/>
    <col min="2574" max="2574" width="8.42578125" style="123" customWidth="1"/>
    <col min="2575" max="2575" width="18.85546875" style="123" customWidth="1"/>
    <col min="2576" max="2576" width="10.28515625" style="123" customWidth="1"/>
    <col min="2577" max="2577" width="11.42578125" style="123"/>
    <col min="2578" max="2578" width="12.140625" style="123" customWidth="1"/>
    <col min="2579" max="2579" width="10.5703125" style="123" customWidth="1"/>
    <col min="2580" max="2580" width="12.42578125" style="123" customWidth="1"/>
    <col min="2581" max="2581" width="15.140625" style="123" customWidth="1"/>
    <col min="2582" max="2582" width="13.5703125" style="123" customWidth="1"/>
    <col min="2583" max="2583" width="13.140625" style="123" customWidth="1"/>
    <col min="2584" max="2584" width="15.7109375" style="123" customWidth="1"/>
    <col min="2585" max="2585" width="37.5703125" style="123" customWidth="1"/>
    <col min="2586" max="2807" width="11.42578125" style="123"/>
    <col min="2808" max="2808" width="10.5703125" style="123" customWidth="1"/>
    <col min="2809" max="2809" width="4.85546875" style="123" customWidth="1"/>
    <col min="2810" max="2810" width="32.42578125" style="123" customWidth="1"/>
    <col min="2811" max="2811" width="9.85546875" style="123" customWidth="1"/>
    <col min="2812" max="2812" width="10.140625" style="123" customWidth="1"/>
    <col min="2813" max="2813" width="12.28515625" style="123" customWidth="1"/>
    <col min="2814" max="2814" width="15.42578125" style="123" customWidth="1"/>
    <col min="2815" max="2815" width="11.85546875" style="123" customWidth="1"/>
    <col min="2816" max="2816" width="13.28515625" style="123" customWidth="1"/>
    <col min="2817" max="2817" width="15.28515625" style="123" customWidth="1"/>
    <col min="2818" max="2818" width="11.85546875" style="123" customWidth="1"/>
    <col min="2819" max="2819" width="6.140625" style="123" customWidth="1"/>
    <col min="2820" max="2820" width="11.85546875" style="123" customWidth="1"/>
    <col min="2821" max="2821" width="9.42578125" style="123" customWidth="1"/>
    <col min="2822" max="2822" width="14.7109375" style="123" customWidth="1"/>
    <col min="2823" max="2823" width="11.5703125" style="123" customWidth="1"/>
    <col min="2824" max="2824" width="0.42578125" style="123" customWidth="1"/>
    <col min="2825" max="2825" width="10.5703125" style="123" bestFit="1" customWidth="1"/>
    <col min="2826" max="2826" width="12.28515625" style="123" customWidth="1"/>
    <col min="2827" max="2827" width="12.5703125" style="123" customWidth="1"/>
    <col min="2828" max="2828" width="10.5703125" style="123" customWidth="1"/>
    <col min="2829" max="2829" width="10.140625" style="123" customWidth="1"/>
    <col min="2830" max="2830" width="8.42578125" style="123" customWidth="1"/>
    <col min="2831" max="2831" width="18.85546875" style="123" customWidth="1"/>
    <col min="2832" max="2832" width="10.28515625" style="123" customWidth="1"/>
    <col min="2833" max="2833" width="11.42578125" style="123"/>
    <col min="2834" max="2834" width="12.140625" style="123" customWidth="1"/>
    <col min="2835" max="2835" width="10.5703125" style="123" customWidth="1"/>
    <col min="2836" max="2836" width="12.42578125" style="123" customWidth="1"/>
    <col min="2837" max="2837" width="15.140625" style="123" customWidth="1"/>
    <col min="2838" max="2838" width="13.5703125" style="123" customWidth="1"/>
    <col min="2839" max="2839" width="13.140625" style="123" customWidth="1"/>
    <col min="2840" max="2840" width="15.7109375" style="123" customWidth="1"/>
    <col min="2841" max="2841" width="37.5703125" style="123" customWidth="1"/>
    <col min="2842" max="3063" width="11.42578125" style="123"/>
    <col min="3064" max="3064" width="10.5703125" style="123" customWidth="1"/>
    <col min="3065" max="3065" width="4.85546875" style="123" customWidth="1"/>
    <col min="3066" max="3066" width="32.42578125" style="123" customWidth="1"/>
    <col min="3067" max="3067" width="9.85546875" style="123" customWidth="1"/>
    <col min="3068" max="3068" width="10.140625" style="123" customWidth="1"/>
    <col min="3069" max="3069" width="12.28515625" style="123" customWidth="1"/>
    <col min="3070" max="3070" width="15.42578125" style="123" customWidth="1"/>
    <col min="3071" max="3071" width="11.85546875" style="123" customWidth="1"/>
    <col min="3072" max="3072" width="13.28515625" style="123" customWidth="1"/>
    <col min="3073" max="3073" width="15.28515625" style="123" customWidth="1"/>
    <col min="3074" max="3074" width="11.85546875" style="123" customWidth="1"/>
    <col min="3075" max="3075" width="6.140625" style="123" customWidth="1"/>
    <col min="3076" max="3076" width="11.85546875" style="123" customWidth="1"/>
    <col min="3077" max="3077" width="9.42578125" style="123" customWidth="1"/>
    <col min="3078" max="3078" width="14.7109375" style="123" customWidth="1"/>
    <col min="3079" max="3079" width="11.5703125" style="123" customWidth="1"/>
    <col min="3080" max="3080" width="0.42578125" style="123" customWidth="1"/>
    <col min="3081" max="3081" width="10.5703125" style="123" bestFit="1" customWidth="1"/>
    <col min="3082" max="3082" width="12.28515625" style="123" customWidth="1"/>
    <col min="3083" max="3083" width="12.5703125" style="123" customWidth="1"/>
    <col min="3084" max="3084" width="10.5703125" style="123" customWidth="1"/>
    <col min="3085" max="3085" width="10.140625" style="123" customWidth="1"/>
    <col min="3086" max="3086" width="8.42578125" style="123" customWidth="1"/>
    <col min="3087" max="3087" width="18.85546875" style="123" customWidth="1"/>
    <col min="3088" max="3088" width="10.28515625" style="123" customWidth="1"/>
    <col min="3089" max="3089" width="11.42578125" style="123"/>
    <col min="3090" max="3090" width="12.140625" style="123" customWidth="1"/>
    <col min="3091" max="3091" width="10.5703125" style="123" customWidth="1"/>
    <col min="3092" max="3092" width="12.42578125" style="123" customWidth="1"/>
    <col min="3093" max="3093" width="15.140625" style="123" customWidth="1"/>
    <col min="3094" max="3094" width="13.5703125" style="123" customWidth="1"/>
    <col min="3095" max="3095" width="13.140625" style="123" customWidth="1"/>
    <col min="3096" max="3096" width="15.7109375" style="123" customWidth="1"/>
    <col min="3097" max="3097" width="37.5703125" style="123" customWidth="1"/>
    <col min="3098" max="3319" width="11.42578125" style="123"/>
    <col min="3320" max="3320" width="10.5703125" style="123" customWidth="1"/>
    <col min="3321" max="3321" width="4.85546875" style="123" customWidth="1"/>
    <col min="3322" max="3322" width="32.42578125" style="123" customWidth="1"/>
    <col min="3323" max="3323" width="9.85546875" style="123" customWidth="1"/>
    <col min="3324" max="3324" width="10.140625" style="123" customWidth="1"/>
    <col min="3325" max="3325" width="12.28515625" style="123" customWidth="1"/>
    <col min="3326" max="3326" width="15.42578125" style="123" customWidth="1"/>
    <col min="3327" max="3327" width="11.85546875" style="123" customWidth="1"/>
    <col min="3328" max="3328" width="13.28515625" style="123" customWidth="1"/>
    <col min="3329" max="3329" width="15.28515625" style="123" customWidth="1"/>
    <col min="3330" max="3330" width="11.85546875" style="123" customWidth="1"/>
    <col min="3331" max="3331" width="6.140625" style="123" customWidth="1"/>
    <col min="3332" max="3332" width="11.85546875" style="123" customWidth="1"/>
    <col min="3333" max="3333" width="9.42578125" style="123" customWidth="1"/>
    <col min="3334" max="3334" width="14.7109375" style="123" customWidth="1"/>
    <col min="3335" max="3335" width="11.5703125" style="123" customWidth="1"/>
    <col min="3336" max="3336" width="0.42578125" style="123" customWidth="1"/>
    <col min="3337" max="3337" width="10.5703125" style="123" bestFit="1" customWidth="1"/>
    <col min="3338" max="3338" width="12.28515625" style="123" customWidth="1"/>
    <col min="3339" max="3339" width="12.5703125" style="123" customWidth="1"/>
    <col min="3340" max="3340" width="10.5703125" style="123" customWidth="1"/>
    <col min="3341" max="3341" width="10.140625" style="123" customWidth="1"/>
    <col min="3342" max="3342" width="8.42578125" style="123" customWidth="1"/>
    <col min="3343" max="3343" width="18.85546875" style="123" customWidth="1"/>
    <col min="3344" max="3344" width="10.28515625" style="123" customWidth="1"/>
    <col min="3345" max="3345" width="11.42578125" style="123"/>
    <col min="3346" max="3346" width="12.140625" style="123" customWidth="1"/>
    <col min="3347" max="3347" width="10.5703125" style="123" customWidth="1"/>
    <col min="3348" max="3348" width="12.42578125" style="123" customWidth="1"/>
    <col min="3349" max="3349" width="15.140625" style="123" customWidth="1"/>
    <col min="3350" max="3350" width="13.5703125" style="123" customWidth="1"/>
    <col min="3351" max="3351" width="13.140625" style="123" customWidth="1"/>
    <col min="3352" max="3352" width="15.7109375" style="123" customWidth="1"/>
    <col min="3353" max="3353" width="37.5703125" style="123" customWidth="1"/>
    <col min="3354" max="3575" width="11.42578125" style="123"/>
    <col min="3576" max="3576" width="10.5703125" style="123" customWidth="1"/>
    <col min="3577" max="3577" width="4.85546875" style="123" customWidth="1"/>
    <col min="3578" max="3578" width="32.42578125" style="123" customWidth="1"/>
    <col min="3579" max="3579" width="9.85546875" style="123" customWidth="1"/>
    <col min="3580" max="3580" width="10.140625" style="123" customWidth="1"/>
    <col min="3581" max="3581" width="12.28515625" style="123" customWidth="1"/>
    <col min="3582" max="3582" width="15.42578125" style="123" customWidth="1"/>
    <col min="3583" max="3583" width="11.85546875" style="123" customWidth="1"/>
    <col min="3584" max="3584" width="13.28515625" style="123" customWidth="1"/>
    <col min="3585" max="3585" width="15.28515625" style="123" customWidth="1"/>
    <col min="3586" max="3586" width="11.85546875" style="123" customWidth="1"/>
    <col min="3587" max="3587" width="6.140625" style="123" customWidth="1"/>
    <col min="3588" max="3588" width="11.85546875" style="123" customWidth="1"/>
    <col min="3589" max="3589" width="9.42578125" style="123" customWidth="1"/>
    <col min="3590" max="3590" width="14.7109375" style="123" customWidth="1"/>
    <col min="3591" max="3591" width="11.5703125" style="123" customWidth="1"/>
    <col min="3592" max="3592" width="0.42578125" style="123" customWidth="1"/>
    <col min="3593" max="3593" width="10.5703125" style="123" bestFit="1" customWidth="1"/>
    <col min="3594" max="3594" width="12.28515625" style="123" customWidth="1"/>
    <col min="3595" max="3595" width="12.5703125" style="123" customWidth="1"/>
    <col min="3596" max="3596" width="10.5703125" style="123" customWidth="1"/>
    <col min="3597" max="3597" width="10.140625" style="123" customWidth="1"/>
    <col min="3598" max="3598" width="8.42578125" style="123" customWidth="1"/>
    <col min="3599" max="3599" width="18.85546875" style="123" customWidth="1"/>
    <col min="3600" max="3600" width="10.28515625" style="123" customWidth="1"/>
    <col min="3601" max="3601" width="11.42578125" style="123"/>
    <col min="3602" max="3602" width="12.140625" style="123" customWidth="1"/>
    <col min="3603" max="3603" width="10.5703125" style="123" customWidth="1"/>
    <col min="3604" max="3604" width="12.42578125" style="123" customWidth="1"/>
    <col min="3605" max="3605" width="15.140625" style="123" customWidth="1"/>
    <col min="3606" max="3606" width="13.5703125" style="123" customWidth="1"/>
    <col min="3607" max="3607" width="13.140625" style="123" customWidth="1"/>
    <col min="3608" max="3608" width="15.7109375" style="123" customWidth="1"/>
    <col min="3609" max="3609" width="37.5703125" style="123" customWidth="1"/>
    <col min="3610" max="3831" width="11.42578125" style="123"/>
    <col min="3832" max="3832" width="10.5703125" style="123" customWidth="1"/>
    <col min="3833" max="3833" width="4.85546875" style="123" customWidth="1"/>
    <col min="3834" max="3834" width="32.42578125" style="123" customWidth="1"/>
    <col min="3835" max="3835" width="9.85546875" style="123" customWidth="1"/>
    <col min="3836" max="3836" width="10.140625" style="123" customWidth="1"/>
    <col min="3837" max="3837" width="12.28515625" style="123" customWidth="1"/>
    <col min="3838" max="3838" width="15.42578125" style="123" customWidth="1"/>
    <col min="3839" max="3839" width="11.85546875" style="123" customWidth="1"/>
    <col min="3840" max="3840" width="13.28515625" style="123" customWidth="1"/>
    <col min="3841" max="3841" width="15.28515625" style="123" customWidth="1"/>
    <col min="3842" max="3842" width="11.85546875" style="123" customWidth="1"/>
    <col min="3843" max="3843" width="6.140625" style="123" customWidth="1"/>
    <col min="3844" max="3844" width="11.85546875" style="123" customWidth="1"/>
    <col min="3845" max="3845" width="9.42578125" style="123" customWidth="1"/>
    <col min="3846" max="3846" width="14.7109375" style="123" customWidth="1"/>
    <col min="3847" max="3847" width="11.5703125" style="123" customWidth="1"/>
    <col min="3848" max="3848" width="0.42578125" style="123" customWidth="1"/>
    <col min="3849" max="3849" width="10.5703125" style="123" bestFit="1" customWidth="1"/>
    <col min="3850" max="3850" width="12.28515625" style="123" customWidth="1"/>
    <col min="3851" max="3851" width="12.5703125" style="123" customWidth="1"/>
    <col min="3852" max="3852" width="10.5703125" style="123" customWidth="1"/>
    <col min="3853" max="3853" width="10.140625" style="123" customWidth="1"/>
    <col min="3854" max="3854" width="8.42578125" style="123" customWidth="1"/>
    <col min="3855" max="3855" width="18.85546875" style="123" customWidth="1"/>
    <col min="3856" max="3856" width="10.28515625" style="123" customWidth="1"/>
    <col min="3857" max="3857" width="11.42578125" style="123"/>
    <col min="3858" max="3858" width="12.140625" style="123" customWidth="1"/>
    <col min="3859" max="3859" width="10.5703125" style="123" customWidth="1"/>
    <col min="3860" max="3860" width="12.42578125" style="123" customWidth="1"/>
    <col min="3861" max="3861" width="15.140625" style="123" customWidth="1"/>
    <col min="3862" max="3862" width="13.5703125" style="123" customWidth="1"/>
    <col min="3863" max="3863" width="13.140625" style="123" customWidth="1"/>
    <col min="3864" max="3864" width="15.7109375" style="123" customWidth="1"/>
    <col min="3865" max="3865" width="37.5703125" style="123" customWidth="1"/>
    <col min="3866" max="4087" width="11.42578125" style="123"/>
    <col min="4088" max="4088" width="10.5703125" style="123" customWidth="1"/>
    <col min="4089" max="4089" width="4.85546875" style="123" customWidth="1"/>
    <col min="4090" max="4090" width="32.42578125" style="123" customWidth="1"/>
    <col min="4091" max="4091" width="9.85546875" style="123" customWidth="1"/>
    <col min="4092" max="4092" width="10.140625" style="123" customWidth="1"/>
    <col min="4093" max="4093" width="12.28515625" style="123" customWidth="1"/>
    <col min="4094" max="4094" width="15.42578125" style="123" customWidth="1"/>
    <col min="4095" max="4095" width="11.85546875" style="123" customWidth="1"/>
    <col min="4096" max="4096" width="13.28515625" style="123" customWidth="1"/>
    <col min="4097" max="4097" width="15.28515625" style="123" customWidth="1"/>
    <col min="4098" max="4098" width="11.85546875" style="123" customWidth="1"/>
    <col min="4099" max="4099" width="6.140625" style="123" customWidth="1"/>
    <col min="4100" max="4100" width="11.85546875" style="123" customWidth="1"/>
    <col min="4101" max="4101" width="9.42578125" style="123" customWidth="1"/>
    <col min="4102" max="4102" width="14.7109375" style="123" customWidth="1"/>
    <col min="4103" max="4103" width="11.5703125" style="123" customWidth="1"/>
    <col min="4104" max="4104" width="0.42578125" style="123" customWidth="1"/>
    <col min="4105" max="4105" width="10.5703125" style="123" bestFit="1" customWidth="1"/>
    <col min="4106" max="4106" width="12.28515625" style="123" customWidth="1"/>
    <col min="4107" max="4107" width="12.5703125" style="123" customWidth="1"/>
    <col min="4108" max="4108" width="10.5703125" style="123" customWidth="1"/>
    <col min="4109" max="4109" width="10.140625" style="123" customWidth="1"/>
    <col min="4110" max="4110" width="8.42578125" style="123" customWidth="1"/>
    <col min="4111" max="4111" width="18.85546875" style="123" customWidth="1"/>
    <col min="4112" max="4112" width="10.28515625" style="123" customWidth="1"/>
    <col min="4113" max="4113" width="11.42578125" style="123"/>
    <col min="4114" max="4114" width="12.140625" style="123" customWidth="1"/>
    <col min="4115" max="4115" width="10.5703125" style="123" customWidth="1"/>
    <col min="4116" max="4116" width="12.42578125" style="123" customWidth="1"/>
    <col min="4117" max="4117" width="15.140625" style="123" customWidth="1"/>
    <col min="4118" max="4118" width="13.5703125" style="123" customWidth="1"/>
    <col min="4119" max="4119" width="13.140625" style="123" customWidth="1"/>
    <col min="4120" max="4120" width="15.7109375" style="123" customWidth="1"/>
    <col min="4121" max="4121" width="37.5703125" style="123" customWidth="1"/>
    <col min="4122" max="4343" width="11.42578125" style="123"/>
    <col min="4344" max="4344" width="10.5703125" style="123" customWidth="1"/>
    <col min="4345" max="4345" width="4.85546875" style="123" customWidth="1"/>
    <col min="4346" max="4346" width="32.42578125" style="123" customWidth="1"/>
    <col min="4347" max="4347" width="9.85546875" style="123" customWidth="1"/>
    <col min="4348" max="4348" width="10.140625" style="123" customWidth="1"/>
    <col min="4349" max="4349" width="12.28515625" style="123" customWidth="1"/>
    <col min="4350" max="4350" width="15.42578125" style="123" customWidth="1"/>
    <col min="4351" max="4351" width="11.85546875" style="123" customWidth="1"/>
    <col min="4352" max="4352" width="13.28515625" style="123" customWidth="1"/>
    <col min="4353" max="4353" width="15.28515625" style="123" customWidth="1"/>
    <col min="4354" max="4354" width="11.85546875" style="123" customWidth="1"/>
    <col min="4355" max="4355" width="6.140625" style="123" customWidth="1"/>
    <col min="4356" max="4356" width="11.85546875" style="123" customWidth="1"/>
    <col min="4357" max="4357" width="9.42578125" style="123" customWidth="1"/>
    <col min="4358" max="4358" width="14.7109375" style="123" customWidth="1"/>
    <col min="4359" max="4359" width="11.5703125" style="123" customWidth="1"/>
    <col min="4360" max="4360" width="0.42578125" style="123" customWidth="1"/>
    <col min="4361" max="4361" width="10.5703125" style="123" bestFit="1" customWidth="1"/>
    <col min="4362" max="4362" width="12.28515625" style="123" customWidth="1"/>
    <col min="4363" max="4363" width="12.5703125" style="123" customWidth="1"/>
    <col min="4364" max="4364" width="10.5703125" style="123" customWidth="1"/>
    <col min="4365" max="4365" width="10.140625" style="123" customWidth="1"/>
    <col min="4366" max="4366" width="8.42578125" style="123" customWidth="1"/>
    <col min="4367" max="4367" width="18.85546875" style="123" customWidth="1"/>
    <col min="4368" max="4368" width="10.28515625" style="123" customWidth="1"/>
    <col min="4369" max="4369" width="11.42578125" style="123"/>
    <col min="4370" max="4370" width="12.140625" style="123" customWidth="1"/>
    <col min="4371" max="4371" width="10.5703125" style="123" customWidth="1"/>
    <col min="4372" max="4372" width="12.42578125" style="123" customWidth="1"/>
    <col min="4373" max="4373" width="15.140625" style="123" customWidth="1"/>
    <col min="4374" max="4374" width="13.5703125" style="123" customWidth="1"/>
    <col min="4375" max="4375" width="13.140625" style="123" customWidth="1"/>
    <col min="4376" max="4376" width="15.7109375" style="123" customWidth="1"/>
    <col min="4377" max="4377" width="37.5703125" style="123" customWidth="1"/>
    <col min="4378" max="4599" width="11.42578125" style="123"/>
    <col min="4600" max="4600" width="10.5703125" style="123" customWidth="1"/>
    <col min="4601" max="4601" width="4.85546875" style="123" customWidth="1"/>
    <col min="4602" max="4602" width="32.42578125" style="123" customWidth="1"/>
    <col min="4603" max="4603" width="9.85546875" style="123" customWidth="1"/>
    <col min="4604" max="4604" width="10.140625" style="123" customWidth="1"/>
    <col min="4605" max="4605" width="12.28515625" style="123" customWidth="1"/>
    <col min="4606" max="4606" width="15.42578125" style="123" customWidth="1"/>
    <col min="4607" max="4607" width="11.85546875" style="123" customWidth="1"/>
    <col min="4608" max="4608" width="13.28515625" style="123" customWidth="1"/>
    <col min="4609" max="4609" width="15.28515625" style="123" customWidth="1"/>
    <col min="4610" max="4610" width="11.85546875" style="123" customWidth="1"/>
    <col min="4611" max="4611" width="6.140625" style="123" customWidth="1"/>
    <col min="4612" max="4612" width="11.85546875" style="123" customWidth="1"/>
    <col min="4613" max="4613" width="9.42578125" style="123" customWidth="1"/>
    <col min="4614" max="4614" width="14.7109375" style="123" customWidth="1"/>
    <col min="4615" max="4615" width="11.5703125" style="123" customWidth="1"/>
    <col min="4616" max="4616" width="0.42578125" style="123" customWidth="1"/>
    <col min="4617" max="4617" width="10.5703125" style="123" bestFit="1" customWidth="1"/>
    <col min="4618" max="4618" width="12.28515625" style="123" customWidth="1"/>
    <col min="4619" max="4619" width="12.5703125" style="123" customWidth="1"/>
    <col min="4620" max="4620" width="10.5703125" style="123" customWidth="1"/>
    <col min="4621" max="4621" width="10.140625" style="123" customWidth="1"/>
    <col min="4622" max="4622" width="8.42578125" style="123" customWidth="1"/>
    <col min="4623" max="4623" width="18.85546875" style="123" customWidth="1"/>
    <col min="4624" max="4624" width="10.28515625" style="123" customWidth="1"/>
    <col min="4625" max="4625" width="11.42578125" style="123"/>
    <col min="4626" max="4626" width="12.140625" style="123" customWidth="1"/>
    <col min="4627" max="4627" width="10.5703125" style="123" customWidth="1"/>
    <col min="4628" max="4628" width="12.42578125" style="123" customWidth="1"/>
    <col min="4629" max="4629" width="15.140625" style="123" customWidth="1"/>
    <col min="4630" max="4630" width="13.5703125" style="123" customWidth="1"/>
    <col min="4631" max="4631" width="13.140625" style="123" customWidth="1"/>
    <col min="4632" max="4632" width="15.7109375" style="123" customWidth="1"/>
    <col min="4633" max="4633" width="37.5703125" style="123" customWidth="1"/>
    <col min="4634" max="4855" width="11.42578125" style="123"/>
    <col min="4856" max="4856" width="10.5703125" style="123" customWidth="1"/>
    <col min="4857" max="4857" width="4.85546875" style="123" customWidth="1"/>
    <col min="4858" max="4858" width="32.42578125" style="123" customWidth="1"/>
    <col min="4859" max="4859" width="9.85546875" style="123" customWidth="1"/>
    <col min="4860" max="4860" width="10.140625" style="123" customWidth="1"/>
    <col min="4861" max="4861" width="12.28515625" style="123" customWidth="1"/>
    <col min="4862" max="4862" width="15.42578125" style="123" customWidth="1"/>
    <col min="4863" max="4863" width="11.85546875" style="123" customWidth="1"/>
    <col min="4864" max="4864" width="13.28515625" style="123" customWidth="1"/>
    <col min="4865" max="4865" width="15.28515625" style="123" customWidth="1"/>
    <col min="4866" max="4866" width="11.85546875" style="123" customWidth="1"/>
    <col min="4867" max="4867" width="6.140625" style="123" customWidth="1"/>
    <col min="4868" max="4868" width="11.85546875" style="123" customWidth="1"/>
    <col min="4869" max="4869" width="9.42578125" style="123" customWidth="1"/>
    <col min="4870" max="4870" width="14.7109375" style="123" customWidth="1"/>
    <col min="4871" max="4871" width="11.5703125" style="123" customWidth="1"/>
    <col min="4872" max="4872" width="0.42578125" style="123" customWidth="1"/>
    <col min="4873" max="4873" width="10.5703125" style="123" bestFit="1" customWidth="1"/>
    <col min="4874" max="4874" width="12.28515625" style="123" customWidth="1"/>
    <col min="4875" max="4875" width="12.5703125" style="123" customWidth="1"/>
    <col min="4876" max="4876" width="10.5703125" style="123" customWidth="1"/>
    <col min="4877" max="4877" width="10.140625" style="123" customWidth="1"/>
    <col min="4878" max="4878" width="8.42578125" style="123" customWidth="1"/>
    <col min="4879" max="4879" width="18.85546875" style="123" customWidth="1"/>
    <col min="4880" max="4880" width="10.28515625" style="123" customWidth="1"/>
    <col min="4881" max="4881" width="11.42578125" style="123"/>
    <col min="4882" max="4882" width="12.140625" style="123" customWidth="1"/>
    <col min="4883" max="4883" width="10.5703125" style="123" customWidth="1"/>
    <col min="4884" max="4884" width="12.42578125" style="123" customWidth="1"/>
    <col min="4885" max="4885" width="15.140625" style="123" customWidth="1"/>
    <col min="4886" max="4886" width="13.5703125" style="123" customWidth="1"/>
    <col min="4887" max="4887" width="13.140625" style="123" customWidth="1"/>
    <col min="4888" max="4888" width="15.7109375" style="123" customWidth="1"/>
    <col min="4889" max="4889" width="37.5703125" style="123" customWidth="1"/>
    <col min="4890" max="5111" width="11.42578125" style="123"/>
    <col min="5112" max="5112" width="10.5703125" style="123" customWidth="1"/>
    <col min="5113" max="5113" width="4.85546875" style="123" customWidth="1"/>
    <col min="5114" max="5114" width="32.42578125" style="123" customWidth="1"/>
    <col min="5115" max="5115" width="9.85546875" style="123" customWidth="1"/>
    <col min="5116" max="5116" width="10.140625" style="123" customWidth="1"/>
    <col min="5117" max="5117" width="12.28515625" style="123" customWidth="1"/>
    <col min="5118" max="5118" width="15.42578125" style="123" customWidth="1"/>
    <col min="5119" max="5119" width="11.85546875" style="123" customWidth="1"/>
    <col min="5120" max="5120" width="13.28515625" style="123" customWidth="1"/>
    <col min="5121" max="5121" width="15.28515625" style="123" customWidth="1"/>
    <col min="5122" max="5122" width="11.85546875" style="123" customWidth="1"/>
    <col min="5123" max="5123" width="6.140625" style="123" customWidth="1"/>
    <col min="5124" max="5124" width="11.85546875" style="123" customWidth="1"/>
    <col min="5125" max="5125" width="9.42578125" style="123" customWidth="1"/>
    <col min="5126" max="5126" width="14.7109375" style="123" customWidth="1"/>
    <col min="5127" max="5127" width="11.5703125" style="123" customWidth="1"/>
    <col min="5128" max="5128" width="0.42578125" style="123" customWidth="1"/>
    <col min="5129" max="5129" width="10.5703125" style="123" bestFit="1" customWidth="1"/>
    <col min="5130" max="5130" width="12.28515625" style="123" customWidth="1"/>
    <col min="5131" max="5131" width="12.5703125" style="123" customWidth="1"/>
    <col min="5132" max="5132" width="10.5703125" style="123" customWidth="1"/>
    <col min="5133" max="5133" width="10.140625" style="123" customWidth="1"/>
    <col min="5134" max="5134" width="8.42578125" style="123" customWidth="1"/>
    <col min="5135" max="5135" width="18.85546875" style="123" customWidth="1"/>
    <col min="5136" max="5136" width="10.28515625" style="123" customWidth="1"/>
    <col min="5137" max="5137" width="11.42578125" style="123"/>
    <col min="5138" max="5138" width="12.140625" style="123" customWidth="1"/>
    <col min="5139" max="5139" width="10.5703125" style="123" customWidth="1"/>
    <col min="5140" max="5140" width="12.42578125" style="123" customWidth="1"/>
    <col min="5141" max="5141" width="15.140625" style="123" customWidth="1"/>
    <col min="5142" max="5142" width="13.5703125" style="123" customWidth="1"/>
    <col min="5143" max="5143" width="13.140625" style="123" customWidth="1"/>
    <col min="5144" max="5144" width="15.7109375" style="123" customWidth="1"/>
    <col min="5145" max="5145" width="37.5703125" style="123" customWidth="1"/>
    <col min="5146" max="5367" width="11.42578125" style="123"/>
    <col min="5368" max="5368" width="10.5703125" style="123" customWidth="1"/>
    <col min="5369" max="5369" width="4.85546875" style="123" customWidth="1"/>
    <col min="5370" max="5370" width="32.42578125" style="123" customWidth="1"/>
    <col min="5371" max="5371" width="9.85546875" style="123" customWidth="1"/>
    <col min="5372" max="5372" width="10.140625" style="123" customWidth="1"/>
    <col min="5373" max="5373" width="12.28515625" style="123" customWidth="1"/>
    <col min="5374" max="5374" width="15.42578125" style="123" customWidth="1"/>
    <col min="5375" max="5375" width="11.85546875" style="123" customWidth="1"/>
    <col min="5376" max="5376" width="13.28515625" style="123" customWidth="1"/>
    <col min="5377" max="5377" width="15.28515625" style="123" customWidth="1"/>
    <col min="5378" max="5378" width="11.85546875" style="123" customWidth="1"/>
    <col min="5379" max="5379" width="6.140625" style="123" customWidth="1"/>
    <col min="5380" max="5380" width="11.85546875" style="123" customWidth="1"/>
    <col min="5381" max="5381" width="9.42578125" style="123" customWidth="1"/>
    <col min="5382" max="5382" width="14.7109375" style="123" customWidth="1"/>
    <col min="5383" max="5383" width="11.5703125" style="123" customWidth="1"/>
    <col min="5384" max="5384" width="0.42578125" style="123" customWidth="1"/>
    <col min="5385" max="5385" width="10.5703125" style="123" bestFit="1" customWidth="1"/>
    <col min="5386" max="5386" width="12.28515625" style="123" customWidth="1"/>
    <col min="5387" max="5387" width="12.5703125" style="123" customWidth="1"/>
    <col min="5388" max="5388" width="10.5703125" style="123" customWidth="1"/>
    <col min="5389" max="5389" width="10.140625" style="123" customWidth="1"/>
    <col min="5390" max="5390" width="8.42578125" style="123" customWidth="1"/>
    <col min="5391" max="5391" width="18.85546875" style="123" customWidth="1"/>
    <col min="5392" max="5392" width="10.28515625" style="123" customWidth="1"/>
    <col min="5393" max="5393" width="11.42578125" style="123"/>
    <col min="5394" max="5394" width="12.140625" style="123" customWidth="1"/>
    <col min="5395" max="5395" width="10.5703125" style="123" customWidth="1"/>
    <col min="5396" max="5396" width="12.42578125" style="123" customWidth="1"/>
    <col min="5397" max="5397" width="15.140625" style="123" customWidth="1"/>
    <col min="5398" max="5398" width="13.5703125" style="123" customWidth="1"/>
    <col min="5399" max="5399" width="13.140625" style="123" customWidth="1"/>
    <col min="5400" max="5400" width="15.7109375" style="123" customWidth="1"/>
    <col min="5401" max="5401" width="37.5703125" style="123" customWidth="1"/>
    <col min="5402" max="5623" width="11.42578125" style="123"/>
    <col min="5624" max="5624" width="10.5703125" style="123" customWidth="1"/>
    <col min="5625" max="5625" width="4.85546875" style="123" customWidth="1"/>
    <col min="5626" max="5626" width="32.42578125" style="123" customWidth="1"/>
    <col min="5627" max="5627" width="9.85546875" style="123" customWidth="1"/>
    <col min="5628" max="5628" width="10.140625" style="123" customWidth="1"/>
    <col min="5629" max="5629" width="12.28515625" style="123" customWidth="1"/>
    <col min="5630" max="5630" width="15.42578125" style="123" customWidth="1"/>
    <col min="5631" max="5631" width="11.85546875" style="123" customWidth="1"/>
    <col min="5632" max="5632" width="13.28515625" style="123" customWidth="1"/>
    <col min="5633" max="5633" width="15.28515625" style="123" customWidth="1"/>
    <col min="5634" max="5634" width="11.85546875" style="123" customWidth="1"/>
    <col min="5635" max="5635" width="6.140625" style="123" customWidth="1"/>
    <col min="5636" max="5636" width="11.85546875" style="123" customWidth="1"/>
    <col min="5637" max="5637" width="9.42578125" style="123" customWidth="1"/>
    <col min="5638" max="5638" width="14.7109375" style="123" customWidth="1"/>
    <col min="5639" max="5639" width="11.5703125" style="123" customWidth="1"/>
    <col min="5640" max="5640" width="0.42578125" style="123" customWidth="1"/>
    <col min="5641" max="5641" width="10.5703125" style="123" bestFit="1" customWidth="1"/>
    <col min="5642" max="5642" width="12.28515625" style="123" customWidth="1"/>
    <col min="5643" max="5643" width="12.5703125" style="123" customWidth="1"/>
    <col min="5644" max="5644" width="10.5703125" style="123" customWidth="1"/>
    <col min="5645" max="5645" width="10.140625" style="123" customWidth="1"/>
    <col min="5646" max="5646" width="8.42578125" style="123" customWidth="1"/>
    <col min="5647" max="5647" width="18.85546875" style="123" customWidth="1"/>
    <col min="5648" max="5648" width="10.28515625" style="123" customWidth="1"/>
    <col min="5649" max="5649" width="11.42578125" style="123"/>
    <col min="5650" max="5650" width="12.140625" style="123" customWidth="1"/>
    <col min="5651" max="5651" width="10.5703125" style="123" customWidth="1"/>
    <col min="5652" max="5652" width="12.42578125" style="123" customWidth="1"/>
    <col min="5653" max="5653" width="15.140625" style="123" customWidth="1"/>
    <col min="5654" max="5654" width="13.5703125" style="123" customWidth="1"/>
    <col min="5655" max="5655" width="13.140625" style="123" customWidth="1"/>
    <col min="5656" max="5656" width="15.7109375" style="123" customWidth="1"/>
    <col min="5657" max="5657" width="37.5703125" style="123" customWidth="1"/>
    <col min="5658" max="5879" width="11.42578125" style="123"/>
    <col min="5880" max="5880" width="10.5703125" style="123" customWidth="1"/>
    <col min="5881" max="5881" width="4.85546875" style="123" customWidth="1"/>
    <col min="5882" max="5882" width="32.42578125" style="123" customWidth="1"/>
    <col min="5883" max="5883" width="9.85546875" style="123" customWidth="1"/>
    <col min="5884" max="5884" width="10.140625" style="123" customWidth="1"/>
    <col min="5885" max="5885" width="12.28515625" style="123" customWidth="1"/>
    <col min="5886" max="5886" width="15.42578125" style="123" customWidth="1"/>
    <col min="5887" max="5887" width="11.85546875" style="123" customWidth="1"/>
    <col min="5888" max="5888" width="13.28515625" style="123" customWidth="1"/>
    <col min="5889" max="5889" width="15.28515625" style="123" customWidth="1"/>
    <col min="5890" max="5890" width="11.85546875" style="123" customWidth="1"/>
    <col min="5891" max="5891" width="6.140625" style="123" customWidth="1"/>
    <col min="5892" max="5892" width="11.85546875" style="123" customWidth="1"/>
    <col min="5893" max="5893" width="9.42578125" style="123" customWidth="1"/>
    <col min="5894" max="5894" width="14.7109375" style="123" customWidth="1"/>
    <col min="5895" max="5895" width="11.5703125" style="123" customWidth="1"/>
    <col min="5896" max="5896" width="0.42578125" style="123" customWidth="1"/>
    <col min="5897" max="5897" width="10.5703125" style="123" bestFit="1" customWidth="1"/>
    <col min="5898" max="5898" width="12.28515625" style="123" customWidth="1"/>
    <col min="5899" max="5899" width="12.5703125" style="123" customWidth="1"/>
    <col min="5900" max="5900" width="10.5703125" style="123" customWidth="1"/>
    <col min="5901" max="5901" width="10.140625" style="123" customWidth="1"/>
    <col min="5902" max="5902" width="8.42578125" style="123" customWidth="1"/>
    <col min="5903" max="5903" width="18.85546875" style="123" customWidth="1"/>
    <col min="5904" max="5904" width="10.28515625" style="123" customWidth="1"/>
    <col min="5905" max="5905" width="11.42578125" style="123"/>
    <col min="5906" max="5906" width="12.140625" style="123" customWidth="1"/>
    <col min="5907" max="5907" width="10.5703125" style="123" customWidth="1"/>
    <col min="5908" max="5908" width="12.42578125" style="123" customWidth="1"/>
    <col min="5909" max="5909" width="15.140625" style="123" customWidth="1"/>
    <col min="5910" max="5910" width="13.5703125" style="123" customWidth="1"/>
    <col min="5911" max="5911" width="13.140625" style="123" customWidth="1"/>
    <col min="5912" max="5912" width="15.7109375" style="123" customWidth="1"/>
    <col min="5913" max="5913" width="37.5703125" style="123" customWidth="1"/>
    <col min="5914" max="6135" width="11.42578125" style="123"/>
    <col min="6136" max="6136" width="10.5703125" style="123" customWidth="1"/>
    <col min="6137" max="6137" width="4.85546875" style="123" customWidth="1"/>
    <col min="6138" max="6138" width="32.42578125" style="123" customWidth="1"/>
    <col min="6139" max="6139" width="9.85546875" style="123" customWidth="1"/>
    <col min="6140" max="6140" width="10.140625" style="123" customWidth="1"/>
    <col min="6141" max="6141" width="12.28515625" style="123" customWidth="1"/>
    <col min="6142" max="6142" width="15.42578125" style="123" customWidth="1"/>
    <col min="6143" max="6143" width="11.85546875" style="123" customWidth="1"/>
    <col min="6144" max="6144" width="13.28515625" style="123" customWidth="1"/>
    <col min="6145" max="6145" width="15.28515625" style="123" customWidth="1"/>
    <col min="6146" max="6146" width="11.85546875" style="123" customWidth="1"/>
    <col min="6147" max="6147" width="6.140625" style="123" customWidth="1"/>
    <col min="6148" max="6148" width="11.85546875" style="123" customWidth="1"/>
    <col min="6149" max="6149" width="9.42578125" style="123" customWidth="1"/>
    <col min="6150" max="6150" width="14.7109375" style="123" customWidth="1"/>
    <col min="6151" max="6151" width="11.5703125" style="123" customWidth="1"/>
    <col min="6152" max="6152" width="0.42578125" style="123" customWidth="1"/>
    <col min="6153" max="6153" width="10.5703125" style="123" bestFit="1" customWidth="1"/>
    <col min="6154" max="6154" width="12.28515625" style="123" customWidth="1"/>
    <col min="6155" max="6155" width="12.5703125" style="123" customWidth="1"/>
    <col min="6156" max="6156" width="10.5703125" style="123" customWidth="1"/>
    <col min="6157" max="6157" width="10.140625" style="123" customWidth="1"/>
    <col min="6158" max="6158" width="8.42578125" style="123" customWidth="1"/>
    <col min="6159" max="6159" width="18.85546875" style="123" customWidth="1"/>
    <col min="6160" max="6160" width="10.28515625" style="123" customWidth="1"/>
    <col min="6161" max="6161" width="11.42578125" style="123"/>
    <col min="6162" max="6162" width="12.140625" style="123" customWidth="1"/>
    <col min="6163" max="6163" width="10.5703125" style="123" customWidth="1"/>
    <col min="6164" max="6164" width="12.42578125" style="123" customWidth="1"/>
    <col min="6165" max="6165" width="15.140625" style="123" customWidth="1"/>
    <col min="6166" max="6166" width="13.5703125" style="123" customWidth="1"/>
    <col min="6167" max="6167" width="13.140625" style="123" customWidth="1"/>
    <col min="6168" max="6168" width="15.7109375" style="123" customWidth="1"/>
    <col min="6169" max="6169" width="37.5703125" style="123" customWidth="1"/>
    <col min="6170" max="6391" width="11.42578125" style="123"/>
    <col min="6392" max="6392" width="10.5703125" style="123" customWidth="1"/>
    <col min="6393" max="6393" width="4.85546875" style="123" customWidth="1"/>
    <col min="6394" max="6394" width="32.42578125" style="123" customWidth="1"/>
    <col min="6395" max="6395" width="9.85546875" style="123" customWidth="1"/>
    <col min="6396" max="6396" width="10.140625" style="123" customWidth="1"/>
    <col min="6397" max="6397" width="12.28515625" style="123" customWidth="1"/>
    <col min="6398" max="6398" width="15.42578125" style="123" customWidth="1"/>
    <col min="6399" max="6399" width="11.85546875" style="123" customWidth="1"/>
    <col min="6400" max="6400" width="13.28515625" style="123" customWidth="1"/>
    <col min="6401" max="6401" width="15.28515625" style="123" customWidth="1"/>
    <col min="6402" max="6402" width="11.85546875" style="123" customWidth="1"/>
    <col min="6403" max="6403" width="6.140625" style="123" customWidth="1"/>
    <col min="6404" max="6404" width="11.85546875" style="123" customWidth="1"/>
    <col min="6405" max="6405" width="9.42578125" style="123" customWidth="1"/>
    <col min="6406" max="6406" width="14.7109375" style="123" customWidth="1"/>
    <col min="6407" max="6407" width="11.5703125" style="123" customWidth="1"/>
    <col min="6408" max="6408" width="0.42578125" style="123" customWidth="1"/>
    <col min="6409" max="6409" width="10.5703125" style="123" bestFit="1" customWidth="1"/>
    <col min="6410" max="6410" width="12.28515625" style="123" customWidth="1"/>
    <col min="6411" max="6411" width="12.5703125" style="123" customWidth="1"/>
    <col min="6412" max="6412" width="10.5703125" style="123" customWidth="1"/>
    <col min="6413" max="6413" width="10.140625" style="123" customWidth="1"/>
    <col min="6414" max="6414" width="8.42578125" style="123" customWidth="1"/>
    <col min="6415" max="6415" width="18.85546875" style="123" customWidth="1"/>
    <col min="6416" max="6416" width="10.28515625" style="123" customWidth="1"/>
    <col min="6417" max="6417" width="11.42578125" style="123"/>
    <col min="6418" max="6418" width="12.140625" style="123" customWidth="1"/>
    <col min="6419" max="6419" width="10.5703125" style="123" customWidth="1"/>
    <col min="6420" max="6420" width="12.42578125" style="123" customWidth="1"/>
    <col min="6421" max="6421" width="15.140625" style="123" customWidth="1"/>
    <col min="6422" max="6422" width="13.5703125" style="123" customWidth="1"/>
    <col min="6423" max="6423" width="13.140625" style="123" customWidth="1"/>
    <col min="6424" max="6424" width="15.7109375" style="123" customWidth="1"/>
    <col min="6425" max="6425" width="37.5703125" style="123" customWidth="1"/>
    <col min="6426" max="6647" width="11.42578125" style="123"/>
    <col min="6648" max="6648" width="10.5703125" style="123" customWidth="1"/>
    <col min="6649" max="6649" width="4.85546875" style="123" customWidth="1"/>
    <col min="6650" max="6650" width="32.42578125" style="123" customWidth="1"/>
    <col min="6651" max="6651" width="9.85546875" style="123" customWidth="1"/>
    <col min="6652" max="6652" width="10.140625" style="123" customWidth="1"/>
    <col min="6653" max="6653" width="12.28515625" style="123" customWidth="1"/>
    <col min="6654" max="6654" width="15.42578125" style="123" customWidth="1"/>
    <col min="6655" max="6655" width="11.85546875" style="123" customWidth="1"/>
    <col min="6656" max="6656" width="13.28515625" style="123" customWidth="1"/>
    <col min="6657" max="6657" width="15.28515625" style="123" customWidth="1"/>
    <col min="6658" max="6658" width="11.85546875" style="123" customWidth="1"/>
    <col min="6659" max="6659" width="6.140625" style="123" customWidth="1"/>
    <col min="6660" max="6660" width="11.85546875" style="123" customWidth="1"/>
    <col min="6661" max="6661" width="9.42578125" style="123" customWidth="1"/>
    <col min="6662" max="6662" width="14.7109375" style="123" customWidth="1"/>
    <col min="6663" max="6663" width="11.5703125" style="123" customWidth="1"/>
    <col min="6664" max="6664" width="0.42578125" style="123" customWidth="1"/>
    <col min="6665" max="6665" width="10.5703125" style="123" bestFit="1" customWidth="1"/>
    <col min="6666" max="6666" width="12.28515625" style="123" customWidth="1"/>
    <col min="6667" max="6667" width="12.5703125" style="123" customWidth="1"/>
    <col min="6668" max="6668" width="10.5703125" style="123" customWidth="1"/>
    <col min="6669" max="6669" width="10.140625" style="123" customWidth="1"/>
    <col min="6670" max="6670" width="8.42578125" style="123" customWidth="1"/>
    <col min="6671" max="6671" width="18.85546875" style="123" customWidth="1"/>
    <col min="6672" max="6672" width="10.28515625" style="123" customWidth="1"/>
    <col min="6673" max="6673" width="11.42578125" style="123"/>
    <col min="6674" max="6674" width="12.140625" style="123" customWidth="1"/>
    <col min="6675" max="6675" width="10.5703125" style="123" customWidth="1"/>
    <col min="6676" max="6676" width="12.42578125" style="123" customWidth="1"/>
    <col min="6677" max="6677" width="15.140625" style="123" customWidth="1"/>
    <col min="6678" max="6678" width="13.5703125" style="123" customWidth="1"/>
    <col min="6679" max="6679" width="13.140625" style="123" customWidth="1"/>
    <col min="6680" max="6680" width="15.7109375" style="123" customWidth="1"/>
    <col min="6681" max="6681" width="37.5703125" style="123" customWidth="1"/>
    <col min="6682" max="6903" width="11.42578125" style="123"/>
    <col min="6904" max="6904" width="10.5703125" style="123" customWidth="1"/>
    <col min="6905" max="6905" width="4.85546875" style="123" customWidth="1"/>
    <col min="6906" max="6906" width="32.42578125" style="123" customWidth="1"/>
    <col min="6907" max="6907" width="9.85546875" style="123" customWidth="1"/>
    <col min="6908" max="6908" width="10.140625" style="123" customWidth="1"/>
    <col min="6909" max="6909" width="12.28515625" style="123" customWidth="1"/>
    <col min="6910" max="6910" width="15.42578125" style="123" customWidth="1"/>
    <col min="6911" max="6911" width="11.85546875" style="123" customWidth="1"/>
    <col min="6912" max="6912" width="13.28515625" style="123" customWidth="1"/>
    <col min="6913" max="6913" width="15.28515625" style="123" customWidth="1"/>
    <col min="6914" max="6914" width="11.85546875" style="123" customWidth="1"/>
    <col min="6915" max="6915" width="6.140625" style="123" customWidth="1"/>
    <col min="6916" max="6916" width="11.85546875" style="123" customWidth="1"/>
    <col min="6917" max="6917" width="9.42578125" style="123" customWidth="1"/>
    <col min="6918" max="6918" width="14.7109375" style="123" customWidth="1"/>
    <col min="6919" max="6919" width="11.5703125" style="123" customWidth="1"/>
    <col min="6920" max="6920" width="0.42578125" style="123" customWidth="1"/>
    <col min="6921" max="6921" width="10.5703125" style="123" bestFit="1" customWidth="1"/>
    <col min="6922" max="6922" width="12.28515625" style="123" customWidth="1"/>
    <col min="6923" max="6923" width="12.5703125" style="123" customWidth="1"/>
    <col min="6924" max="6924" width="10.5703125" style="123" customWidth="1"/>
    <col min="6925" max="6925" width="10.140625" style="123" customWidth="1"/>
    <col min="6926" max="6926" width="8.42578125" style="123" customWidth="1"/>
    <col min="6927" max="6927" width="18.85546875" style="123" customWidth="1"/>
    <col min="6928" max="6928" width="10.28515625" style="123" customWidth="1"/>
    <col min="6929" max="6929" width="11.42578125" style="123"/>
    <col min="6930" max="6930" width="12.140625" style="123" customWidth="1"/>
    <col min="6931" max="6931" width="10.5703125" style="123" customWidth="1"/>
    <col min="6932" max="6932" width="12.42578125" style="123" customWidth="1"/>
    <col min="6933" max="6933" width="15.140625" style="123" customWidth="1"/>
    <col min="6934" max="6934" width="13.5703125" style="123" customWidth="1"/>
    <col min="6935" max="6935" width="13.140625" style="123" customWidth="1"/>
    <col min="6936" max="6936" width="15.7109375" style="123" customWidth="1"/>
    <col min="6937" max="6937" width="37.5703125" style="123" customWidth="1"/>
    <col min="6938" max="7159" width="11.42578125" style="123"/>
    <col min="7160" max="7160" width="10.5703125" style="123" customWidth="1"/>
    <col min="7161" max="7161" width="4.85546875" style="123" customWidth="1"/>
    <col min="7162" max="7162" width="32.42578125" style="123" customWidth="1"/>
    <col min="7163" max="7163" width="9.85546875" style="123" customWidth="1"/>
    <col min="7164" max="7164" width="10.140625" style="123" customWidth="1"/>
    <col min="7165" max="7165" width="12.28515625" style="123" customWidth="1"/>
    <col min="7166" max="7166" width="15.42578125" style="123" customWidth="1"/>
    <col min="7167" max="7167" width="11.85546875" style="123" customWidth="1"/>
    <col min="7168" max="7168" width="13.28515625" style="123" customWidth="1"/>
    <col min="7169" max="7169" width="15.28515625" style="123" customWidth="1"/>
    <col min="7170" max="7170" width="11.85546875" style="123" customWidth="1"/>
    <col min="7171" max="7171" width="6.140625" style="123" customWidth="1"/>
    <col min="7172" max="7172" width="11.85546875" style="123" customWidth="1"/>
    <col min="7173" max="7173" width="9.42578125" style="123" customWidth="1"/>
    <col min="7174" max="7174" width="14.7109375" style="123" customWidth="1"/>
    <col min="7175" max="7175" width="11.5703125" style="123" customWidth="1"/>
    <col min="7176" max="7176" width="0.42578125" style="123" customWidth="1"/>
    <col min="7177" max="7177" width="10.5703125" style="123" bestFit="1" customWidth="1"/>
    <col min="7178" max="7178" width="12.28515625" style="123" customWidth="1"/>
    <col min="7179" max="7179" width="12.5703125" style="123" customWidth="1"/>
    <col min="7180" max="7180" width="10.5703125" style="123" customWidth="1"/>
    <col min="7181" max="7181" width="10.140625" style="123" customWidth="1"/>
    <col min="7182" max="7182" width="8.42578125" style="123" customWidth="1"/>
    <col min="7183" max="7183" width="18.85546875" style="123" customWidth="1"/>
    <col min="7184" max="7184" width="10.28515625" style="123" customWidth="1"/>
    <col min="7185" max="7185" width="11.42578125" style="123"/>
    <col min="7186" max="7186" width="12.140625" style="123" customWidth="1"/>
    <col min="7187" max="7187" width="10.5703125" style="123" customWidth="1"/>
    <col min="7188" max="7188" width="12.42578125" style="123" customWidth="1"/>
    <col min="7189" max="7189" width="15.140625" style="123" customWidth="1"/>
    <col min="7190" max="7190" width="13.5703125" style="123" customWidth="1"/>
    <col min="7191" max="7191" width="13.140625" style="123" customWidth="1"/>
    <col min="7192" max="7192" width="15.7109375" style="123" customWidth="1"/>
    <col min="7193" max="7193" width="37.5703125" style="123" customWidth="1"/>
    <col min="7194" max="7415" width="11.42578125" style="123"/>
    <col min="7416" max="7416" width="10.5703125" style="123" customWidth="1"/>
    <col min="7417" max="7417" width="4.85546875" style="123" customWidth="1"/>
    <col min="7418" max="7418" width="32.42578125" style="123" customWidth="1"/>
    <col min="7419" max="7419" width="9.85546875" style="123" customWidth="1"/>
    <col min="7420" max="7420" width="10.140625" style="123" customWidth="1"/>
    <col min="7421" max="7421" width="12.28515625" style="123" customWidth="1"/>
    <col min="7422" max="7422" width="15.42578125" style="123" customWidth="1"/>
    <col min="7423" max="7423" width="11.85546875" style="123" customWidth="1"/>
    <col min="7424" max="7424" width="13.28515625" style="123" customWidth="1"/>
    <col min="7425" max="7425" width="15.28515625" style="123" customWidth="1"/>
    <col min="7426" max="7426" width="11.85546875" style="123" customWidth="1"/>
    <col min="7427" max="7427" width="6.140625" style="123" customWidth="1"/>
    <col min="7428" max="7428" width="11.85546875" style="123" customWidth="1"/>
    <col min="7429" max="7429" width="9.42578125" style="123" customWidth="1"/>
    <col min="7430" max="7430" width="14.7109375" style="123" customWidth="1"/>
    <col min="7431" max="7431" width="11.5703125" style="123" customWidth="1"/>
    <col min="7432" max="7432" width="0.42578125" style="123" customWidth="1"/>
    <col min="7433" max="7433" width="10.5703125" style="123" bestFit="1" customWidth="1"/>
    <col min="7434" max="7434" width="12.28515625" style="123" customWidth="1"/>
    <col min="7435" max="7435" width="12.5703125" style="123" customWidth="1"/>
    <col min="7436" max="7436" width="10.5703125" style="123" customWidth="1"/>
    <col min="7437" max="7437" width="10.140625" style="123" customWidth="1"/>
    <col min="7438" max="7438" width="8.42578125" style="123" customWidth="1"/>
    <col min="7439" max="7439" width="18.85546875" style="123" customWidth="1"/>
    <col min="7440" max="7440" width="10.28515625" style="123" customWidth="1"/>
    <col min="7441" max="7441" width="11.42578125" style="123"/>
    <col min="7442" max="7442" width="12.140625" style="123" customWidth="1"/>
    <col min="7443" max="7443" width="10.5703125" style="123" customWidth="1"/>
    <col min="7444" max="7444" width="12.42578125" style="123" customWidth="1"/>
    <col min="7445" max="7445" width="15.140625" style="123" customWidth="1"/>
    <col min="7446" max="7446" width="13.5703125" style="123" customWidth="1"/>
    <col min="7447" max="7447" width="13.140625" style="123" customWidth="1"/>
    <col min="7448" max="7448" width="15.7109375" style="123" customWidth="1"/>
    <col min="7449" max="7449" width="37.5703125" style="123" customWidth="1"/>
    <col min="7450" max="7671" width="11.42578125" style="123"/>
    <col min="7672" max="7672" width="10.5703125" style="123" customWidth="1"/>
    <col min="7673" max="7673" width="4.85546875" style="123" customWidth="1"/>
    <col min="7674" max="7674" width="32.42578125" style="123" customWidth="1"/>
    <col min="7675" max="7675" width="9.85546875" style="123" customWidth="1"/>
    <col min="7676" max="7676" width="10.140625" style="123" customWidth="1"/>
    <col min="7677" max="7677" width="12.28515625" style="123" customWidth="1"/>
    <col min="7678" max="7678" width="15.42578125" style="123" customWidth="1"/>
    <col min="7679" max="7679" width="11.85546875" style="123" customWidth="1"/>
    <col min="7680" max="7680" width="13.28515625" style="123" customWidth="1"/>
    <col min="7681" max="7681" width="15.28515625" style="123" customWidth="1"/>
    <col min="7682" max="7682" width="11.85546875" style="123" customWidth="1"/>
    <col min="7683" max="7683" width="6.140625" style="123" customWidth="1"/>
    <col min="7684" max="7684" width="11.85546875" style="123" customWidth="1"/>
    <col min="7685" max="7685" width="9.42578125" style="123" customWidth="1"/>
    <col min="7686" max="7686" width="14.7109375" style="123" customWidth="1"/>
    <col min="7687" max="7687" width="11.5703125" style="123" customWidth="1"/>
    <col min="7688" max="7688" width="0.42578125" style="123" customWidth="1"/>
    <col min="7689" max="7689" width="10.5703125" style="123" bestFit="1" customWidth="1"/>
    <col min="7690" max="7690" width="12.28515625" style="123" customWidth="1"/>
    <col min="7691" max="7691" width="12.5703125" style="123" customWidth="1"/>
    <col min="7692" max="7692" width="10.5703125" style="123" customWidth="1"/>
    <col min="7693" max="7693" width="10.140625" style="123" customWidth="1"/>
    <col min="7694" max="7694" width="8.42578125" style="123" customWidth="1"/>
    <col min="7695" max="7695" width="18.85546875" style="123" customWidth="1"/>
    <col min="7696" max="7696" width="10.28515625" style="123" customWidth="1"/>
    <col min="7697" max="7697" width="11.42578125" style="123"/>
    <col min="7698" max="7698" width="12.140625" style="123" customWidth="1"/>
    <col min="7699" max="7699" width="10.5703125" style="123" customWidth="1"/>
    <col min="7700" max="7700" width="12.42578125" style="123" customWidth="1"/>
    <col min="7701" max="7701" width="15.140625" style="123" customWidth="1"/>
    <col min="7702" max="7702" width="13.5703125" style="123" customWidth="1"/>
    <col min="7703" max="7703" width="13.140625" style="123" customWidth="1"/>
    <col min="7704" max="7704" width="15.7109375" style="123" customWidth="1"/>
    <col min="7705" max="7705" width="37.5703125" style="123" customWidth="1"/>
    <col min="7706" max="7927" width="11.42578125" style="123"/>
    <col min="7928" max="7928" width="10.5703125" style="123" customWidth="1"/>
    <col min="7929" max="7929" width="4.85546875" style="123" customWidth="1"/>
    <col min="7930" max="7930" width="32.42578125" style="123" customWidth="1"/>
    <col min="7931" max="7931" width="9.85546875" style="123" customWidth="1"/>
    <col min="7932" max="7932" width="10.140625" style="123" customWidth="1"/>
    <col min="7933" max="7933" width="12.28515625" style="123" customWidth="1"/>
    <col min="7934" max="7934" width="15.42578125" style="123" customWidth="1"/>
    <col min="7935" max="7935" width="11.85546875" style="123" customWidth="1"/>
    <col min="7936" max="7936" width="13.28515625" style="123" customWidth="1"/>
    <col min="7937" max="7937" width="15.28515625" style="123" customWidth="1"/>
    <col min="7938" max="7938" width="11.85546875" style="123" customWidth="1"/>
    <col min="7939" max="7939" width="6.140625" style="123" customWidth="1"/>
    <col min="7940" max="7940" width="11.85546875" style="123" customWidth="1"/>
    <col min="7941" max="7941" width="9.42578125" style="123" customWidth="1"/>
    <col min="7942" max="7942" width="14.7109375" style="123" customWidth="1"/>
    <col min="7943" max="7943" width="11.5703125" style="123" customWidth="1"/>
    <col min="7944" max="7944" width="0.42578125" style="123" customWidth="1"/>
    <col min="7945" max="7945" width="10.5703125" style="123" bestFit="1" customWidth="1"/>
    <col min="7946" max="7946" width="12.28515625" style="123" customWidth="1"/>
    <col min="7947" max="7947" width="12.5703125" style="123" customWidth="1"/>
    <col min="7948" max="7948" width="10.5703125" style="123" customWidth="1"/>
    <col min="7949" max="7949" width="10.140625" style="123" customWidth="1"/>
    <col min="7950" max="7950" width="8.42578125" style="123" customWidth="1"/>
    <col min="7951" max="7951" width="18.85546875" style="123" customWidth="1"/>
    <col min="7952" max="7952" width="10.28515625" style="123" customWidth="1"/>
    <col min="7953" max="7953" width="11.42578125" style="123"/>
    <col min="7954" max="7954" width="12.140625" style="123" customWidth="1"/>
    <col min="7955" max="7955" width="10.5703125" style="123" customWidth="1"/>
    <col min="7956" max="7956" width="12.42578125" style="123" customWidth="1"/>
    <col min="7957" max="7957" width="15.140625" style="123" customWidth="1"/>
    <col min="7958" max="7958" width="13.5703125" style="123" customWidth="1"/>
    <col min="7959" max="7959" width="13.140625" style="123" customWidth="1"/>
    <col min="7960" max="7960" width="15.7109375" style="123" customWidth="1"/>
    <col min="7961" max="7961" width="37.5703125" style="123" customWidth="1"/>
    <col min="7962" max="8183" width="11.42578125" style="123"/>
    <col min="8184" max="8184" width="10.5703125" style="123" customWidth="1"/>
    <col min="8185" max="8185" width="4.85546875" style="123" customWidth="1"/>
    <col min="8186" max="8186" width="32.42578125" style="123" customWidth="1"/>
    <col min="8187" max="8187" width="9.85546875" style="123" customWidth="1"/>
    <col min="8188" max="8188" width="10.140625" style="123" customWidth="1"/>
    <col min="8189" max="8189" width="12.28515625" style="123" customWidth="1"/>
    <col min="8190" max="8190" width="15.42578125" style="123" customWidth="1"/>
    <col min="8191" max="8191" width="11.85546875" style="123" customWidth="1"/>
    <col min="8192" max="8192" width="13.28515625" style="123" customWidth="1"/>
    <col min="8193" max="8193" width="15.28515625" style="123" customWidth="1"/>
    <col min="8194" max="8194" width="11.85546875" style="123" customWidth="1"/>
    <col min="8195" max="8195" width="6.140625" style="123" customWidth="1"/>
    <col min="8196" max="8196" width="11.85546875" style="123" customWidth="1"/>
    <col min="8197" max="8197" width="9.42578125" style="123" customWidth="1"/>
    <col min="8198" max="8198" width="14.7109375" style="123" customWidth="1"/>
    <col min="8199" max="8199" width="11.5703125" style="123" customWidth="1"/>
    <col min="8200" max="8200" width="0.42578125" style="123" customWidth="1"/>
    <col min="8201" max="8201" width="10.5703125" style="123" bestFit="1" customWidth="1"/>
    <col min="8202" max="8202" width="12.28515625" style="123" customWidth="1"/>
    <col min="8203" max="8203" width="12.5703125" style="123" customWidth="1"/>
    <col min="8204" max="8204" width="10.5703125" style="123" customWidth="1"/>
    <col min="8205" max="8205" width="10.140625" style="123" customWidth="1"/>
    <col min="8206" max="8206" width="8.42578125" style="123" customWidth="1"/>
    <col min="8207" max="8207" width="18.85546875" style="123" customWidth="1"/>
    <col min="8208" max="8208" width="10.28515625" style="123" customWidth="1"/>
    <col min="8209" max="8209" width="11.42578125" style="123"/>
    <col min="8210" max="8210" width="12.140625" style="123" customWidth="1"/>
    <col min="8211" max="8211" width="10.5703125" style="123" customWidth="1"/>
    <col min="8212" max="8212" width="12.42578125" style="123" customWidth="1"/>
    <col min="8213" max="8213" width="15.140625" style="123" customWidth="1"/>
    <col min="8214" max="8214" width="13.5703125" style="123" customWidth="1"/>
    <col min="8215" max="8215" width="13.140625" style="123" customWidth="1"/>
    <col min="8216" max="8216" width="15.7109375" style="123" customWidth="1"/>
    <col min="8217" max="8217" width="37.5703125" style="123" customWidth="1"/>
    <col min="8218" max="8439" width="11.42578125" style="123"/>
    <col min="8440" max="8440" width="10.5703125" style="123" customWidth="1"/>
    <col min="8441" max="8441" width="4.85546875" style="123" customWidth="1"/>
    <col min="8442" max="8442" width="32.42578125" style="123" customWidth="1"/>
    <col min="8443" max="8443" width="9.85546875" style="123" customWidth="1"/>
    <col min="8444" max="8444" width="10.140625" style="123" customWidth="1"/>
    <col min="8445" max="8445" width="12.28515625" style="123" customWidth="1"/>
    <col min="8446" max="8446" width="15.42578125" style="123" customWidth="1"/>
    <col min="8447" max="8447" width="11.85546875" style="123" customWidth="1"/>
    <col min="8448" max="8448" width="13.28515625" style="123" customWidth="1"/>
    <col min="8449" max="8449" width="15.28515625" style="123" customWidth="1"/>
    <col min="8450" max="8450" width="11.85546875" style="123" customWidth="1"/>
    <col min="8451" max="8451" width="6.140625" style="123" customWidth="1"/>
    <col min="8452" max="8452" width="11.85546875" style="123" customWidth="1"/>
    <col min="8453" max="8453" width="9.42578125" style="123" customWidth="1"/>
    <col min="8454" max="8454" width="14.7109375" style="123" customWidth="1"/>
    <col min="8455" max="8455" width="11.5703125" style="123" customWidth="1"/>
    <col min="8456" max="8456" width="0.42578125" style="123" customWidth="1"/>
    <col min="8457" max="8457" width="10.5703125" style="123" bestFit="1" customWidth="1"/>
    <col min="8458" max="8458" width="12.28515625" style="123" customWidth="1"/>
    <col min="8459" max="8459" width="12.5703125" style="123" customWidth="1"/>
    <col min="8460" max="8460" width="10.5703125" style="123" customWidth="1"/>
    <col min="8461" max="8461" width="10.140625" style="123" customWidth="1"/>
    <col min="8462" max="8462" width="8.42578125" style="123" customWidth="1"/>
    <col min="8463" max="8463" width="18.85546875" style="123" customWidth="1"/>
    <col min="8464" max="8464" width="10.28515625" style="123" customWidth="1"/>
    <col min="8465" max="8465" width="11.42578125" style="123"/>
    <col min="8466" max="8466" width="12.140625" style="123" customWidth="1"/>
    <col min="8467" max="8467" width="10.5703125" style="123" customWidth="1"/>
    <col min="8468" max="8468" width="12.42578125" style="123" customWidth="1"/>
    <col min="8469" max="8469" width="15.140625" style="123" customWidth="1"/>
    <col min="8470" max="8470" width="13.5703125" style="123" customWidth="1"/>
    <col min="8471" max="8471" width="13.140625" style="123" customWidth="1"/>
    <col min="8472" max="8472" width="15.7109375" style="123" customWidth="1"/>
    <col min="8473" max="8473" width="37.5703125" style="123" customWidth="1"/>
    <col min="8474" max="8695" width="11.42578125" style="123"/>
    <col min="8696" max="8696" width="10.5703125" style="123" customWidth="1"/>
    <col min="8697" max="8697" width="4.85546875" style="123" customWidth="1"/>
    <col min="8698" max="8698" width="32.42578125" style="123" customWidth="1"/>
    <col min="8699" max="8699" width="9.85546875" style="123" customWidth="1"/>
    <col min="8700" max="8700" width="10.140625" style="123" customWidth="1"/>
    <col min="8701" max="8701" width="12.28515625" style="123" customWidth="1"/>
    <col min="8702" max="8702" width="15.42578125" style="123" customWidth="1"/>
    <col min="8703" max="8703" width="11.85546875" style="123" customWidth="1"/>
    <col min="8704" max="8704" width="13.28515625" style="123" customWidth="1"/>
    <col min="8705" max="8705" width="15.28515625" style="123" customWidth="1"/>
    <col min="8706" max="8706" width="11.85546875" style="123" customWidth="1"/>
    <col min="8707" max="8707" width="6.140625" style="123" customWidth="1"/>
    <col min="8708" max="8708" width="11.85546875" style="123" customWidth="1"/>
    <col min="8709" max="8709" width="9.42578125" style="123" customWidth="1"/>
    <col min="8710" max="8710" width="14.7109375" style="123" customWidth="1"/>
    <col min="8711" max="8711" width="11.5703125" style="123" customWidth="1"/>
    <col min="8712" max="8712" width="0.42578125" style="123" customWidth="1"/>
    <col min="8713" max="8713" width="10.5703125" style="123" bestFit="1" customWidth="1"/>
    <col min="8714" max="8714" width="12.28515625" style="123" customWidth="1"/>
    <col min="8715" max="8715" width="12.5703125" style="123" customWidth="1"/>
    <col min="8716" max="8716" width="10.5703125" style="123" customWidth="1"/>
    <col min="8717" max="8717" width="10.140625" style="123" customWidth="1"/>
    <col min="8718" max="8718" width="8.42578125" style="123" customWidth="1"/>
    <col min="8719" max="8719" width="18.85546875" style="123" customWidth="1"/>
    <col min="8720" max="8720" width="10.28515625" style="123" customWidth="1"/>
    <col min="8721" max="8721" width="11.42578125" style="123"/>
    <col min="8722" max="8722" width="12.140625" style="123" customWidth="1"/>
    <col min="8723" max="8723" width="10.5703125" style="123" customWidth="1"/>
    <col min="8724" max="8724" width="12.42578125" style="123" customWidth="1"/>
    <col min="8725" max="8725" width="15.140625" style="123" customWidth="1"/>
    <col min="8726" max="8726" width="13.5703125" style="123" customWidth="1"/>
    <col min="8727" max="8727" width="13.140625" style="123" customWidth="1"/>
    <col min="8728" max="8728" width="15.7109375" style="123" customWidth="1"/>
    <col min="8729" max="8729" width="37.5703125" style="123" customWidth="1"/>
    <col min="8730" max="8951" width="11.42578125" style="123"/>
    <col min="8952" max="8952" width="10.5703125" style="123" customWidth="1"/>
    <col min="8953" max="8953" width="4.85546875" style="123" customWidth="1"/>
    <col min="8954" max="8954" width="32.42578125" style="123" customWidth="1"/>
    <col min="8955" max="8955" width="9.85546875" style="123" customWidth="1"/>
    <col min="8956" max="8956" width="10.140625" style="123" customWidth="1"/>
    <col min="8957" max="8957" width="12.28515625" style="123" customWidth="1"/>
    <col min="8958" max="8958" width="15.42578125" style="123" customWidth="1"/>
    <col min="8959" max="8959" width="11.85546875" style="123" customWidth="1"/>
    <col min="8960" max="8960" width="13.28515625" style="123" customWidth="1"/>
    <col min="8961" max="8961" width="15.28515625" style="123" customWidth="1"/>
    <col min="8962" max="8962" width="11.85546875" style="123" customWidth="1"/>
    <col min="8963" max="8963" width="6.140625" style="123" customWidth="1"/>
    <col min="8964" max="8964" width="11.85546875" style="123" customWidth="1"/>
    <col min="8965" max="8965" width="9.42578125" style="123" customWidth="1"/>
    <col min="8966" max="8966" width="14.7109375" style="123" customWidth="1"/>
    <col min="8967" max="8967" width="11.5703125" style="123" customWidth="1"/>
    <col min="8968" max="8968" width="0.42578125" style="123" customWidth="1"/>
    <col min="8969" max="8969" width="10.5703125" style="123" bestFit="1" customWidth="1"/>
    <col min="8970" max="8970" width="12.28515625" style="123" customWidth="1"/>
    <col min="8971" max="8971" width="12.5703125" style="123" customWidth="1"/>
    <col min="8972" max="8972" width="10.5703125" style="123" customWidth="1"/>
    <col min="8973" max="8973" width="10.140625" style="123" customWidth="1"/>
    <col min="8974" max="8974" width="8.42578125" style="123" customWidth="1"/>
    <col min="8975" max="8975" width="18.85546875" style="123" customWidth="1"/>
    <col min="8976" max="8976" width="10.28515625" style="123" customWidth="1"/>
    <col min="8977" max="8977" width="11.42578125" style="123"/>
    <col min="8978" max="8978" width="12.140625" style="123" customWidth="1"/>
    <col min="8979" max="8979" width="10.5703125" style="123" customWidth="1"/>
    <col min="8980" max="8980" width="12.42578125" style="123" customWidth="1"/>
    <col min="8981" max="8981" width="15.140625" style="123" customWidth="1"/>
    <col min="8982" max="8982" width="13.5703125" style="123" customWidth="1"/>
    <col min="8983" max="8983" width="13.140625" style="123" customWidth="1"/>
    <col min="8984" max="8984" width="15.7109375" style="123" customWidth="1"/>
    <col min="8985" max="8985" width="37.5703125" style="123" customWidth="1"/>
    <col min="8986" max="9207" width="11.42578125" style="123"/>
    <col min="9208" max="9208" width="10.5703125" style="123" customWidth="1"/>
    <col min="9209" max="9209" width="4.85546875" style="123" customWidth="1"/>
    <col min="9210" max="9210" width="32.42578125" style="123" customWidth="1"/>
    <col min="9211" max="9211" width="9.85546875" style="123" customWidth="1"/>
    <col min="9212" max="9212" width="10.140625" style="123" customWidth="1"/>
    <col min="9213" max="9213" width="12.28515625" style="123" customWidth="1"/>
    <col min="9214" max="9214" width="15.42578125" style="123" customWidth="1"/>
    <col min="9215" max="9215" width="11.85546875" style="123" customWidth="1"/>
    <col min="9216" max="9216" width="13.28515625" style="123" customWidth="1"/>
    <col min="9217" max="9217" width="15.28515625" style="123" customWidth="1"/>
    <col min="9218" max="9218" width="11.85546875" style="123" customWidth="1"/>
    <col min="9219" max="9219" width="6.140625" style="123" customWidth="1"/>
    <col min="9220" max="9220" width="11.85546875" style="123" customWidth="1"/>
    <col min="9221" max="9221" width="9.42578125" style="123" customWidth="1"/>
    <col min="9222" max="9222" width="14.7109375" style="123" customWidth="1"/>
    <col min="9223" max="9223" width="11.5703125" style="123" customWidth="1"/>
    <col min="9224" max="9224" width="0.42578125" style="123" customWidth="1"/>
    <col min="9225" max="9225" width="10.5703125" style="123" bestFit="1" customWidth="1"/>
    <col min="9226" max="9226" width="12.28515625" style="123" customWidth="1"/>
    <col min="9227" max="9227" width="12.5703125" style="123" customWidth="1"/>
    <col min="9228" max="9228" width="10.5703125" style="123" customWidth="1"/>
    <col min="9229" max="9229" width="10.140625" style="123" customWidth="1"/>
    <col min="9230" max="9230" width="8.42578125" style="123" customWidth="1"/>
    <col min="9231" max="9231" width="18.85546875" style="123" customWidth="1"/>
    <col min="9232" max="9232" width="10.28515625" style="123" customWidth="1"/>
    <col min="9233" max="9233" width="11.42578125" style="123"/>
    <col min="9234" max="9234" width="12.140625" style="123" customWidth="1"/>
    <col min="9235" max="9235" width="10.5703125" style="123" customWidth="1"/>
    <col min="9236" max="9236" width="12.42578125" style="123" customWidth="1"/>
    <col min="9237" max="9237" width="15.140625" style="123" customWidth="1"/>
    <col min="9238" max="9238" width="13.5703125" style="123" customWidth="1"/>
    <col min="9239" max="9239" width="13.140625" style="123" customWidth="1"/>
    <col min="9240" max="9240" width="15.7109375" style="123" customWidth="1"/>
    <col min="9241" max="9241" width="37.5703125" style="123" customWidth="1"/>
    <col min="9242" max="9463" width="11.42578125" style="123"/>
    <col min="9464" max="9464" width="10.5703125" style="123" customWidth="1"/>
    <col min="9465" max="9465" width="4.85546875" style="123" customWidth="1"/>
    <col min="9466" max="9466" width="32.42578125" style="123" customWidth="1"/>
    <col min="9467" max="9467" width="9.85546875" style="123" customWidth="1"/>
    <col min="9468" max="9468" width="10.140625" style="123" customWidth="1"/>
    <col min="9469" max="9469" width="12.28515625" style="123" customWidth="1"/>
    <col min="9470" max="9470" width="15.42578125" style="123" customWidth="1"/>
    <col min="9471" max="9471" width="11.85546875" style="123" customWidth="1"/>
    <col min="9472" max="9472" width="13.28515625" style="123" customWidth="1"/>
    <col min="9473" max="9473" width="15.28515625" style="123" customWidth="1"/>
    <col min="9474" max="9474" width="11.85546875" style="123" customWidth="1"/>
    <col min="9475" max="9475" width="6.140625" style="123" customWidth="1"/>
    <col min="9476" max="9476" width="11.85546875" style="123" customWidth="1"/>
    <col min="9477" max="9477" width="9.42578125" style="123" customWidth="1"/>
    <col min="9478" max="9478" width="14.7109375" style="123" customWidth="1"/>
    <col min="9479" max="9479" width="11.5703125" style="123" customWidth="1"/>
    <col min="9480" max="9480" width="0.42578125" style="123" customWidth="1"/>
    <col min="9481" max="9481" width="10.5703125" style="123" bestFit="1" customWidth="1"/>
    <col min="9482" max="9482" width="12.28515625" style="123" customWidth="1"/>
    <col min="9483" max="9483" width="12.5703125" style="123" customWidth="1"/>
    <col min="9484" max="9484" width="10.5703125" style="123" customWidth="1"/>
    <col min="9485" max="9485" width="10.140625" style="123" customWidth="1"/>
    <col min="9486" max="9486" width="8.42578125" style="123" customWidth="1"/>
    <col min="9487" max="9487" width="18.85546875" style="123" customWidth="1"/>
    <col min="9488" max="9488" width="10.28515625" style="123" customWidth="1"/>
    <col min="9489" max="9489" width="11.42578125" style="123"/>
    <col min="9490" max="9490" width="12.140625" style="123" customWidth="1"/>
    <col min="9491" max="9491" width="10.5703125" style="123" customWidth="1"/>
    <col min="9492" max="9492" width="12.42578125" style="123" customWidth="1"/>
    <col min="9493" max="9493" width="15.140625" style="123" customWidth="1"/>
    <col min="9494" max="9494" width="13.5703125" style="123" customWidth="1"/>
    <col min="9495" max="9495" width="13.140625" style="123" customWidth="1"/>
    <col min="9496" max="9496" width="15.7109375" style="123" customWidth="1"/>
    <col min="9497" max="9497" width="37.5703125" style="123" customWidth="1"/>
    <col min="9498" max="9719" width="11.42578125" style="123"/>
    <col min="9720" max="9720" width="10.5703125" style="123" customWidth="1"/>
    <col min="9721" max="9721" width="4.85546875" style="123" customWidth="1"/>
    <col min="9722" max="9722" width="32.42578125" style="123" customWidth="1"/>
    <col min="9723" max="9723" width="9.85546875" style="123" customWidth="1"/>
    <col min="9724" max="9724" width="10.140625" style="123" customWidth="1"/>
    <col min="9725" max="9725" width="12.28515625" style="123" customWidth="1"/>
    <col min="9726" max="9726" width="15.42578125" style="123" customWidth="1"/>
    <col min="9727" max="9727" width="11.85546875" style="123" customWidth="1"/>
    <col min="9728" max="9728" width="13.28515625" style="123" customWidth="1"/>
    <col min="9729" max="9729" width="15.28515625" style="123" customWidth="1"/>
    <col min="9730" max="9730" width="11.85546875" style="123" customWidth="1"/>
    <col min="9731" max="9731" width="6.140625" style="123" customWidth="1"/>
    <col min="9732" max="9732" width="11.85546875" style="123" customWidth="1"/>
    <col min="9733" max="9733" width="9.42578125" style="123" customWidth="1"/>
    <col min="9734" max="9734" width="14.7109375" style="123" customWidth="1"/>
    <col min="9735" max="9735" width="11.5703125" style="123" customWidth="1"/>
    <col min="9736" max="9736" width="0.42578125" style="123" customWidth="1"/>
    <col min="9737" max="9737" width="10.5703125" style="123" bestFit="1" customWidth="1"/>
    <col min="9738" max="9738" width="12.28515625" style="123" customWidth="1"/>
    <col min="9739" max="9739" width="12.5703125" style="123" customWidth="1"/>
    <col min="9740" max="9740" width="10.5703125" style="123" customWidth="1"/>
    <col min="9741" max="9741" width="10.140625" style="123" customWidth="1"/>
    <col min="9742" max="9742" width="8.42578125" style="123" customWidth="1"/>
    <col min="9743" max="9743" width="18.85546875" style="123" customWidth="1"/>
    <col min="9744" max="9744" width="10.28515625" style="123" customWidth="1"/>
    <col min="9745" max="9745" width="11.42578125" style="123"/>
    <col min="9746" max="9746" width="12.140625" style="123" customWidth="1"/>
    <col min="9747" max="9747" width="10.5703125" style="123" customWidth="1"/>
    <col min="9748" max="9748" width="12.42578125" style="123" customWidth="1"/>
    <col min="9749" max="9749" width="15.140625" style="123" customWidth="1"/>
    <col min="9750" max="9750" width="13.5703125" style="123" customWidth="1"/>
    <col min="9751" max="9751" width="13.140625" style="123" customWidth="1"/>
    <col min="9752" max="9752" width="15.7109375" style="123" customWidth="1"/>
    <col min="9753" max="9753" width="37.5703125" style="123" customWidth="1"/>
    <col min="9754" max="9975" width="11.42578125" style="123"/>
    <col min="9976" max="9976" width="10.5703125" style="123" customWidth="1"/>
    <col min="9977" max="9977" width="4.85546875" style="123" customWidth="1"/>
    <col min="9978" max="9978" width="32.42578125" style="123" customWidth="1"/>
    <col min="9979" max="9979" width="9.85546875" style="123" customWidth="1"/>
    <col min="9980" max="9980" width="10.140625" style="123" customWidth="1"/>
    <col min="9981" max="9981" width="12.28515625" style="123" customWidth="1"/>
    <col min="9982" max="9982" width="15.42578125" style="123" customWidth="1"/>
    <col min="9983" max="9983" width="11.85546875" style="123" customWidth="1"/>
    <col min="9984" max="9984" width="13.28515625" style="123" customWidth="1"/>
    <col min="9985" max="9985" width="15.28515625" style="123" customWidth="1"/>
    <col min="9986" max="9986" width="11.85546875" style="123" customWidth="1"/>
    <col min="9987" max="9987" width="6.140625" style="123" customWidth="1"/>
    <col min="9988" max="9988" width="11.85546875" style="123" customWidth="1"/>
    <col min="9989" max="9989" width="9.42578125" style="123" customWidth="1"/>
    <col min="9990" max="9990" width="14.7109375" style="123" customWidth="1"/>
    <col min="9991" max="9991" width="11.5703125" style="123" customWidth="1"/>
    <col min="9992" max="9992" width="0.42578125" style="123" customWidth="1"/>
    <col min="9993" max="9993" width="10.5703125" style="123" bestFit="1" customWidth="1"/>
    <col min="9994" max="9994" width="12.28515625" style="123" customWidth="1"/>
    <col min="9995" max="9995" width="12.5703125" style="123" customWidth="1"/>
    <col min="9996" max="9996" width="10.5703125" style="123" customWidth="1"/>
    <col min="9997" max="9997" width="10.140625" style="123" customWidth="1"/>
    <col min="9998" max="9998" width="8.42578125" style="123" customWidth="1"/>
    <col min="9999" max="9999" width="18.85546875" style="123" customWidth="1"/>
    <col min="10000" max="10000" width="10.28515625" style="123" customWidth="1"/>
    <col min="10001" max="10001" width="11.42578125" style="123"/>
    <col min="10002" max="10002" width="12.140625" style="123" customWidth="1"/>
    <col min="10003" max="10003" width="10.5703125" style="123" customWidth="1"/>
    <col min="10004" max="10004" width="12.42578125" style="123" customWidth="1"/>
    <col min="10005" max="10005" width="15.140625" style="123" customWidth="1"/>
    <col min="10006" max="10006" width="13.5703125" style="123" customWidth="1"/>
    <col min="10007" max="10007" width="13.140625" style="123" customWidth="1"/>
    <col min="10008" max="10008" width="15.7109375" style="123" customWidth="1"/>
    <col min="10009" max="10009" width="37.5703125" style="123" customWidth="1"/>
    <col min="10010" max="10231" width="11.42578125" style="123"/>
    <col min="10232" max="10232" width="10.5703125" style="123" customWidth="1"/>
    <col min="10233" max="10233" width="4.85546875" style="123" customWidth="1"/>
    <col min="10234" max="10234" width="32.42578125" style="123" customWidth="1"/>
    <col min="10235" max="10235" width="9.85546875" style="123" customWidth="1"/>
    <col min="10236" max="10236" width="10.140625" style="123" customWidth="1"/>
    <col min="10237" max="10237" width="12.28515625" style="123" customWidth="1"/>
    <col min="10238" max="10238" width="15.42578125" style="123" customWidth="1"/>
    <col min="10239" max="10239" width="11.85546875" style="123" customWidth="1"/>
    <col min="10240" max="10240" width="13.28515625" style="123" customWidth="1"/>
    <col min="10241" max="10241" width="15.28515625" style="123" customWidth="1"/>
    <col min="10242" max="10242" width="11.85546875" style="123" customWidth="1"/>
    <col min="10243" max="10243" width="6.140625" style="123" customWidth="1"/>
    <col min="10244" max="10244" width="11.85546875" style="123" customWidth="1"/>
    <col min="10245" max="10245" width="9.42578125" style="123" customWidth="1"/>
    <col min="10246" max="10246" width="14.7109375" style="123" customWidth="1"/>
    <col min="10247" max="10247" width="11.5703125" style="123" customWidth="1"/>
    <col min="10248" max="10248" width="0.42578125" style="123" customWidth="1"/>
    <col min="10249" max="10249" width="10.5703125" style="123" bestFit="1" customWidth="1"/>
    <col min="10250" max="10250" width="12.28515625" style="123" customWidth="1"/>
    <col min="10251" max="10251" width="12.5703125" style="123" customWidth="1"/>
    <col min="10252" max="10252" width="10.5703125" style="123" customWidth="1"/>
    <col min="10253" max="10253" width="10.140625" style="123" customWidth="1"/>
    <col min="10254" max="10254" width="8.42578125" style="123" customWidth="1"/>
    <col min="10255" max="10255" width="18.85546875" style="123" customWidth="1"/>
    <col min="10256" max="10256" width="10.28515625" style="123" customWidth="1"/>
    <col min="10257" max="10257" width="11.42578125" style="123"/>
    <col min="10258" max="10258" width="12.140625" style="123" customWidth="1"/>
    <col min="10259" max="10259" width="10.5703125" style="123" customWidth="1"/>
    <col min="10260" max="10260" width="12.42578125" style="123" customWidth="1"/>
    <col min="10261" max="10261" width="15.140625" style="123" customWidth="1"/>
    <col min="10262" max="10262" width="13.5703125" style="123" customWidth="1"/>
    <col min="10263" max="10263" width="13.140625" style="123" customWidth="1"/>
    <col min="10264" max="10264" width="15.7109375" style="123" customWidth="1"/>
    <col min="10265" max="10265" width="37.5703125" style="123" customWidth="1"/>
    <col min="10266" max="10487" width="11.42578125" style="123"/>
    <col min="10488" max="10488" width="10.5703125" style="123" customWidth="1"/>
    <col min="10489" max="10489" width="4.85546875" style="123" customWidth="1"/>
    <col min="10490" max="10490" width="32.42578125" style="123" customWidth="1"/>
    <col min="10491" max="10491" width="9.85546875" style="123" customWidth="1"/>
    <col min="10492" max="10492" width="10.140625" style="123" customWidth="1"/>
    <col min="10493" max="10493" width="12.28515625" style="123" customWidth="1"/>
    <col min="10494" max="10494" width="15.42578125" style="123" customWidth="1"/>
    <col min="10495" max="10495" width="11.85546875" style="123" customWidth="1"/>
    <col min="10496" max="10496" width="13.28515625" style="123" customWidth="1"/>
    <col min="10497" max="10497" width="15.28515625" style="123" customWidth="1"/>
    <col min="10498" max="10498" width="11.85546875" style="123" customWidth="1"/>
    <col min="10499" max="10499" width="6.140625" style="123" customWidth="1"/>
    <col min="10500" max="10500" width="11.85546875" style="123" customWidth="1"/>
    <col min="10501" max="10501" width="9.42578125" style="123" customWidth="1"/>
    <col min="10502" max="10502" width="14.7109375" style="123" customWidth="1"/>
    <col min="10503" max="10503" width="11.5703125" style="123" customWidth="1"/>
    <col min="10504" max="10504" width="0.42578125" style="123" customWidth="1"/>
    <col min="10505" max="10505" width="10.5703125" style="123" bestFit="1" customWidth="1"/>
    <col min="10506" max="10506" width="12.28515625" style="123" customWidth="1"/>
    <col min="10507" max="10507" width="12.5703125" style="123" customWidth="1"/>
    <col min="10508" max="10508" width="10.5703125" style="123" customWidth="1"/>
    <col min="10509" max="10509" width="10.140625" style="123" customWidth="1"/>
    <col min="10510" max="10510" width="8.42578125" style="123" customWidth="1"/>
    <col min="10511" max="10511" width="18.85546875" style="123" customWidth="1"/>
    <col min="10512" max="10512" width="10.28515625" style="123" customWidth="1"/>
    <col min="10513" max="10513" width="11.42578125" style="123"/>
    <col min="10514" max="10514" width="12.140625" style="123" customWidth="1"/>
    <col min="10515" max="10515" width="10.5703125" style="123" customWidth="1"/>
    <col min="10516" max="10516" width="12.42578125" style="123" customWidth="1"/>
    <col min="10517" max="10517" width="15.140625" style="123" customWidth="1"/>
    <col min="10518" max="10518" width="13.5703125" style="123" customWidth="1"/>
    <col min="10519" max="10519" width="13.140625" style="123" customWidth="1"/>
    <col min="10520" max="10520" width="15.7109375" style="123" customWidth="1"/>
    <col min="10521" max="10521" width="37.5703125" style="123" customWidth="1"/>
    <col min="10522" max="10743" width="11.42578125" style="123"/>
    <col min="10744" max="10744" width="10.5703125" style="123" customWidth="1"/>
    <col min="10745" max="10745" width="4.85546875" style="123" customWidth="1"/>
    <col min="10746" max="10746" width="32.42578125" style="123" customWidth="1"/>
    <col min="10747" max="10747" width="9.85546875" style="123" customWidth="1"/>
    <col min="10748" max="10748" width="10.140625" style="123" customWidth="1"/>
    <col min="10749" max="10749" width="12.28515625" style="123" customWidth="1"/>
    <col min="10750" max="10750" width="15.42578125" style="123" customWidth="1"/>
    <col min="10751" max="10751" width="11.85546875" style="123" customWidth="1"/>
    <col min="10752" max="10752" width="13.28515625" style="123" customWidth="1"/>
    <col min="10753" max="10753" width="15.28515625" style="123" customWidth="1"/>
    <col min="10754" max="10754" width="11.85546875" style="123" customWidth="1"/>
    <col min="10755" max="10755" width="6.140625" style="123" customWidth="1"/>
    <col min="10756" max="10756" width="11.85546875" style="123" customWidth="1"/>
    <col min="10757" max="10757" width="9.42578125" style="123" customWidth="1"/>
    <col min="10758" max="10758" width="14.7109375" style="123" customWidth="1"/>
    <col min="10759" max="10759" width="11.5703125" style="123" customWidth="1"/>
    <col min="10760" max="10760" width="0.42578125" style="123" customWidth="1"/>
    <col min="10761" max="10761" width="10.5703125" style="123" bestFit="1" customWidth="1"/>
    <col min="10762" max="10762" width="12.28515625" style="123" customWidth="1"/>
    <col min="10763" max="10763" width="12.5703125" style="123" customWidth="1"/>
    <col min="10764" max="10764" width="10.5703125" style="123" customWidth="1"/>
    <col min="10765" max="10765" width="10.140625" style="123" customWidth="1"/>
    <col min="10766" max="10766" width="8.42578125" style="123" customWidth="1"/>
    <col min="10767" max="10767" width="18.85546875" style="123" customWidth="1"/>
    <col min="10768" max="10768" width="10.28515625" style="123" customWidth="1"/>
    <col min="10769" max="10769" width="11.42578125" style="123"/>
    <col min="10770" max="10770" width="12.140625" style="123" customWidth="1"/>
    <col min="10771" max="10771" width="10.5703125" style="123" customWidth="1"/>
    <col min="10772" max="10772" width="12.42578125" style="123" customWidth="1"/>
    <col min="10773" max="10773" width="15.140625" style="123" customWidth="1"/>
    <col min="10774" max="10774" width="13.5703125" style="123" customWidth="1"/>
    <col min="10775" max="10775" width="13.140625" style="123" customWidth="1"/>
    <col min="10776" max="10776" width="15.7109375" style="123" customWidth="1"/>
    <col min="10777" max="10777" width="37.5703125" style="123" customWidth="1"/>
    <col min="10778" max="10999" width="11.42578125" style="123"/>
    <col min="11000" max="11000" width="10.5703125" style="123" customWidth="1"/>
    <col min="11001" max="11001" width="4.85546875" style="123" customWidth="1"/>
    <col min="11002" max="11002" width="32.42578125" style="123" customWidth="1"/>
    <col min="11003" max="11003" width="9.85546875" style="123" customWidth="1"/>
    <col min="11004" max="11004" width="10.140625" style="123" customWidth="1"/>
    <col min="11005" max="11005" width="12.28515625" style="123" customWidth="1"/>
    <col min="11006" max="11006" width="15.42578125" style="123" customWidth="1"/>
    <col min="11007" max="11007" width="11.85546875" style="123" customWidth="1"/>
    <col min="11008" max="11008" width="13.28515625" style="123" customWidth="1"/>
    <col min="11009" max="11009" width="15.28515625" style="123" customWidth="1"/>
    <col min="11010" max="11010" width="11.85546875" style="123" customWidth="1"/>
    <col min="11011" max="11011" width="6.140625" style="123" customWidth="1"/>
    <col min="11012" max="11012" width="11.85546875" style="123" customWidth="1"/>
    <col min="11013" max="11013" width="9.42578125" style="123" customWidth="1"/>
    <col min="11014" max="11014" width="14.7109375" style="123" customWidth="1"/>
    <col min="11015" max="11015" width="11.5703125" style="123" customWidth="1"/>
    <col min="11016" max="11016" width="0.42578125" style="123" customWidth="1"/>
    <col min="11017" max="11017" width="10.5703125" style="123" bestFit="1" customWidth="1"/>
    <col min="11018" max="11018" width="12.28515625" style="123" customWidth="1"/>
    <col min="11019" max="11019" width="12.5703125" style="123" customWidth="1"/>
    <col min="11020" max="11020" width="10.5703125" style="123" customWidth="1"/>
    <col min="11021" max="11021" width="10.140625" style="123" customWidth="1"/>
    <col min="11022" max="11022" width="8.42578125" style="123" customWidth="1"/>
    <col min="11023" max="11023" width="18.85546875" style="123" customWidth="1"/>
    <col min="11024" max="11024" width="10.28515625" style="123" customWidth="1"/>
    <col min="11025" max="11025" width="11.42578125" style="123"/>
    <col min="11026" max="11026" width="12.140625" style="123" customWidth="1"/>
    <col min="11027" max="11027" width="10.5703125" style="123" customWidth="1"/>
    <col min="11028" max="11028" width="12.42578125" style="123" customWidth="1"/>
    <col min="11029" max="11029" width="15.140625" style="123" customWidth="1"/>
    <col min="11030" max="11030" width="13.5703125" style="123" customWidth="1"/>
    <col min="11031" max="11031" width="13.140625" style="123" customWidth="1"/>
    <col min="11032" max="11032" width="15.7109375" style="123" customWidth="1"/>
    <col min="11033" max="11033" width="37.5703125" style="123" customWidth="1"/>
    <col min="11034" max="11255" width="11.42578125" style="123"/>
    <col min="11256" max="11256" width="10.5703125" style="123" customWidth="1"/>
    <col min="11257" max="11257" width="4.85546875" style="123" customWidth="1"/>
    <col min="11258" max="11258" width="32.42578125" style="123" customWidth="1"/>
    <col min="11259" max="11259" width="9.85546875" style="123" customWidth="1"/>
    <col min="11260" max="11260" width="10.140625" style="123" customWidth="1"/>
    <col min="11261" max="11261" width="12.28515625" style="123" customWidth="1"/>
    <col min="11262" max="11262" width="15.42578125" style="123" customWidth="1"/>
    <col min="11263" max="11263" width="11.85546875" style="123" customWidth="1"/>
    <col min="11264" max="11264" width="13.28515625" style="123" customWidth="1"/>
    <col min="11265" max="11265" width="15.28515625" style="123" customWidth="1"/>
    <col min="11266" max="11266" width="11.85546875" style="123" customWidth="1"/>
    <col min="11267" max="11267" width="6.140625" style="123" customWidth="1"/>
    <col min="11268" max="11268" width="11.85546875" style="123" customWidth="1"/>
    <col min="11269" max="11269" width="9.42578125" style="123" customWidth="1"/>
    <col min="11270" max="11270" width="14.7109375" style="123" customWidth="1"/>
    <col min="11271" max="11271" width="11.5703125" style="123" customWidth="1"/>
    <col min="11272" max="11272" width="0.42578125" style="123" customWidth="1"/>
    <col min="11273" max="11273" width="10.5703125" style="123" bestFit="1" customWidth="1"/>
    <col min="11274" max="11274" width="12.28515625" style="123" customWidth="1"/>
    <col min="11275" max="11275" width="12.5703125" style="123" customWidth="1"/>
    <col min="11276" max="11276" width="10.5703125" style="123" customWidth="1"/>
    <col min="11277" max="11277" width="10.140625" style="123" customWidth="1"/>
    <col min="11278" max="11278" width="8.42578125" style="123" customWidth="1"/>
    <col min="11279" max="11279" width="18.85546875" style="123" customWidth="1"/>
    <col min="11280" max="11280" width="10.28515625" style="123" customWidth="1"/>
    <col min="11281" max="11281" width="11.42578125" style="123"/>
    <col min="11282" max="11282" width="12.140625" style="123" customWidth="1"/>
    <col min="11283" max="11283" width="10.5703125" style="123" customWidth="1"/>
    <col min="11284" max="11284" width="12.42578125" style="123" customWidth="1"/>
    <col min="11285" max="11285" width="15.140625" style="123" customWidth="1"/>
    <col min="11286" max="11286" width="13.5703125" style="123" customWidth="1"/>
    <col min="11287" max="11287" width="13.140625" style="123" customWidth="1"/>
    <col min="11288" max="11288" width="15.7109375" style="123" customWidth="1"/>
    <col min="11289" max="11289" width="37.5703125" style="123" customWidth="1"/>
    <col min="11290" max="11511" width="11.42578125" style="123"/>
    <col min="11512" max="11512" width="10.5703125" style="123" customWidth="1"/>
    <col min="11513" max="11513" width="4.85546875" style="123" customWidth="1"/>
    <col min="11514" max="11514" width="32.42578125" style="123" customWidth="1"/>
    <col min="11515" max="11515" width="9.85546875" style="123" customWidth="1"/>
    <col min="11516" max="11516" width="10.140625" style="123" customWidth="1"/>
    <col min="11517" max="11517" width="12.28515625" style="123" customWidth="1"/>
    <col min="11518" max="11518" width="15.42578125" style="123" customWidth="1"/>
    <col min="11519" max="11519" width="11.85546875" style="123" customWidth="1"/>
    <col min="11520" max="11520" width="13.28515625" style="123" customWidth="1"/>
    <col min="11521" max="11521" width="15.28515625" style="123" customWidth="1"/>
    <col min="11522" max="11522" width="11.85546875" style="123" customWidth="1"/>
    <col min="11523" max="11523" width="6.140625" style="123" customWidth="1"/>
    <col min="11524" max="11524" width="11.85546875" style="123" customWidth="1"/>
    <col min="11525" max="11525" width="9.42578125" style="123" customWidth="1"/>
    <col min="11526" max="11526" width="14.7109375" style="123" customWidth="1"/>
    <col min="11527" max="11527" width="11.5703125" style="123" customWidth="1"/>
    <col min="11528" max="11528" width="0.42578125" style="123" customWidth="1"/>
    <col min="11529" max="11529" width="10.5703125" style="123" bestFit="1" customWidth="1"/>
    <col min="11530" max="11530" width="12.28515625" style="123" customWidth="1"/>
    <col min="11531" max="11531" width="12.5703125" style="123" customWidth="1"/>
    <col min="11532" max="11532" width="10.5703125" style="123" customWidth="1"/>
    <col min="11533" max="11533" width="10.140625" style="123" customWidth="1"/>
    <col min="11534" max="11534" width="8.42578125" style="123" customWidth="1"/>
    <col min="11535" max="11535" width="18.85546875" style="123" customWidth="1"/>
    <col min="11536" max="11536" width="10.28515625" style="123" customWidth="1"/>
    <col min="11537" max="11537" width="11.42578125" style="123"/>
    <col min="11538" max="11538" width="12.140625" style="123" customWidth="1"/>
    <col min="11539" max="11539" width="10.5703125" style="123" customWidth="1"/>
    <col min="11540" max="11540" width="12.42578125" style="123" customWidth="1"/>
    <col min="11541" max="11541" width="15.140625" style="123" customWidth="1"/>
    <col min="11542" max="11542" width="13.5703125" style="123" customWidth="1"/>
    <col min="11543" max="11543" width="13.140625" style="123" customWidth="1"/>
    <col min="11544" max="11544" width="15.7109375" style="123" customWidth="1"/>
    <col min="11545" max="11545" width="37.5703125" style="123" customWidth="1"/>
    <col min="11546" max="11767" width="11.42578125" style="123"/>
    <col min="11768" max="11768" width="10.5703125" style="123" customWidth="1"/>
    <col min="11769" max="11769" width="4.85546875" style="123" customWidth="1"/>
    <col min="11770" max="11770" width="32.42578125" style="123" customWidth="1"/>
    <col min="11771" max="11771" width="9.85546875" style="123" customWidth="1"/>
    <col min="11772" max="11772" width="10.140625" style="123" customWidth="1"/>
    <col min="11773" max="11773" width="12.28515625" style="123" customWidth="1"/>
    <col min="11774" max="11774" width="15.42578125" style="123" customWidth="1"/>
    <col min="11775" max="11775" width="11.85546875" style="123" customWidth="1"/>
    <col min="11776" max="11776" width="13.28515625" style="123" customWidth="1"/>
    <col min="11777" max="11777" width="15.28515625" style="123" customWidth="1"/>
    <col min="11778" max="11778" width="11.85546875" style="123" customWidth="1"/>
    <col min="11779" max="11779" width="6.140625" style="123" customWidth="1"/>
    <col min="11780" max="11780" width="11.85546875" style="123" customWidth="1"/>
    <col min="11781" max="11781" width="9.42578125" style="123" customWidth="1"/>
    <col min="11782" max="11782" width="14.7109375" style="123" customWidth="1"/>
    <col min="11783" max="11783" width="11.5703125" style="123" customWidth="1"/>
    <col min="11784" max="11784" width="0.42578125" style="123" customWidth="1"/>
    <col min="11785" max="11785" width="10.5703125" style="123" bestFit="1" customWidth="1"/>
    <col min="11786" max="11786" width="12.28515625" style="123" customWidth="1"/>
    <col min="11787" max="11787" width="12.5703125" style="123" customWidth="1"/>
    <col min="11788" max="11788" width="10.5703125" style="123" customWidth="1"/>
    <col min="11789" max="11789" width="10.140625" style="123" customWidth="1"/>
    <col min="11790" max="11790" width="8.42578125" style="123" customWidth="1"/>
    <col min="11791" max="11791" width="18.85546875" style="123" customWidth="1"/>
    <col min="11792" max="11792" width="10.28515625" style="123" customWidth="1"/>
    <col min="11793" max="11793" width="11.42578125" style="123"/>
    <col min="11794" max="11794" width="12.140625" style="123" customWidth="1"/>
    <col min="11795" max="11795" width="10.5703125" style="123" customWidth="1"/>
    <col min="11796" max="11796" width="12.42578125" style="123" customWidth="1"/>
    <col min="11797" max="11797" width="15.140625" style="123" customWidth="1"/>
    <col min="11798" max="11798" width="13.5703125" style="123" customWidth="1"/>
    <col min="11799" max="11799" width="13.140625" style="123" customWidth="1"/>
    <col min="11800" max="11800" width="15.7109375" style="123" customWidth="1"/>
    <col min="11801" max="11801" width="37.5703125" style="123" customWidth="1"/>
    <col min="11802" max="12023" width="11.42578125" style="123"/>
    <col min="12024" max="12024" width="10.5703125" style="123" customWidth="1"/>
    <col min="12025" max="12025" width="4.85546875" style="123" customWidth="1"/>
    <col min="12026" max="12026" width="32.42578125" style="123" customWidth="1"/>
    <col min="12027" max="12027" width="9.85546875" style="123" customWidth="1"/>
    <col min="12028" max="12028" width="10.140625" style="123" customWidth="1"/>
    <col min="12029" max="12029" width="12.28515625" style="123" customWidth="1"/>
    <col min="12030" max="12030" width="15.42578125" style="123" customWidth="1"/>
    <col min="12031" max="12031" width="11.85546875" style="123" customWidth="1"/>
    <col min="12032" max="12032" width="13.28515625" style="123" customWidth="1"/>
    <col min="12033" max="12033" width="15.28515625" style="123" customWidth="1"/>
    <col min="12034" max="12034" width="11.85546875" style="123" customWidth="1"/>
    <col min="12035" max="12035" width="6.140625" style="123" customWidth="1"/>
    <col min="12036" max="12036" width="11.85546875" style="123" customWidth="1"/>
    <col min="12037" max="12037" width="9.42578125" style="123" customWidth="1"/>
    <col min="12038" max="12038" width="14.7109375" style="123" customWidth="1"/>
    <col min="12039" max="12039" width="11.5703125" style="123" customWidth="1"/>
    <col min="12040" max="12040" width="0.42578125" style="123" customWidth="1"/>
    <col min="12041" max="12041" width="10.5703125" style="123" bestFit="1" customWidth="1"/>
    <col min="12042" max="12042" width="12.28515625" style="123" customWidth="1"/>
    <col min="12043" max="12043" width="12.5703125" style="123" customWidth="1"/>
    <col min="12044" max="12044" width="10.5703125" style="123" customWidth="1"/>
    <col min="12045" max="12045" width="10.140625" style="123" customWidth="1"/>
    <col min="12046" max="12046" width="8.42578125" style="123" customWidth="1"/>
    <col min="12047" max="12047" width="18.85546875" style="123" customWidth="1"/>
    <col min="12048" max="12048" width="10.28515625" style="123" customWidth="1"/>
    <col min="12049" max="12049" width="11.42578125" style="123"/>
    <col min="12050" max="12050" width="12.140625" style="123" customWidth="1"/>
    <col min="12051" max="12051" width="10.5703125" style="123" customWidth="1"/>
    <col min="12052" max="12052" width="12.42578125" style="123" customWidth="1"/>
    <col min="12053" max="12053" width="15.140625" style="123" customWidth="1"/>
    <col min="12054" max="12054" width="13.5703125" style="123" customWidth="1"/>
    <col min="12055" max="12055" width="13.140625" style="123" customWidth="1"/>
    <col min="12056" max="12056" width="15.7109375" style="123" customWidth="1"/>
    <col min="12057" max="12057" width="37.5703125" style="123" customWidth="1"/>
    <col min="12058" max="12279" width="11.42578125" style="123"/>
    <col min="12280" max="12280" width="10.5703125" style="123" customWidth="1"/>
    <col min="12281" max="12281" width="4.85546875" style="123" customWidth="1"/>
    <col min="12282" max="12282" width="32.42578125" style="123" customWidth="1"/>
    <col min="12283" max="12283" width="9.85546875" style="123" customWidth="1"/>
    <col min="12284" max="12284" width="10.140625" style="123" customWidth="1"/>
    <col min="12285" max="12285" width="12.28515625" style="123" customWidth="1"/>
    <col min="12286" max="12286" width="15.42578125" style="123" customWidth="1"/>
    <col min="12287" max="12287" width="11.85546875" style="123" customWidth="1"/>
    <col min="12288" max="12288" width="13.28515625" style="123" customWidth="1"/>
    <col min="12289" max="12289" width="15.28515625" style="123" customWidth="1"/>
    <col min="12290" max="12290" width="11.85546875" style="123" customWidth="1"/>
    <col min="12291" max="12291" width="6.140625" style="123" customWidth="1"/>
    <col min="12292" max="12292" width="11.85546875" style="123" customWidth="1"/>
    <col min="12293" max="12293" width="9.42578125" style="123" customWidth="1"/>
    <col min="12294" max="12294" width="14.7109375" style="123" customWidth="1"/>
    <col min="12295" max="12295" width="11.5703125" style="123" customWidth="1"/>
    <col min="12296" max="12296" width="0.42578125" style="123" customWidth="1"/>
    <col min="12297" max="12297" width="10.5703125" style="123" bestFit="1" customWidth="1"/>
    <col min="12298" max="12298" width="12.28515625" style="123" customWidth="1"/>
    <col min="12299" max="12299" width="12.5703125" style="123" customWidth="1"/>
    <col min="12300" max="12300" width="10.5703125" style="123" customWidth="1"/>
    <col min="12301" max="12301" width="10.140625" style="123" customWidth="1"/>
    <col min="12302" max="12302" width="8.42578125" style="123" customWidth="1"/>
    <col min="12303" max="12303" width="18.85546875" style="123" customWidth="1"/>
    <col min="12304" max="12304" width="10.28515625" style="123" customWidth="1"/>
    <col min="12305" max="12305" width="11.42578125" style="123"/>
    <col min="12306" max="12306" width="12.140625" style="123" customWidth="1"/>
    <col min="12307" max="12307" width="10.5703125" style="123" customWidth="1"/>
    <col min="12308" max="12308" width="12.42578125" style="123" customWidth="1"/>
    <col min="12309" max="12309" width="15.140625" style="123" customWidth="1"/>
    <col min="12310" max="12310" width="13.5703125" style="123" customWidth="1"/>
    <col min="12311" max="12311" width="13.140625" style="123" customWidth="1"/>
    <col min="12312" max="12312" width="15.7109375" style="123" customWidth="1"/>
    <col min="12313" max="12313" width="37.5703125" style="123" customWidth="1"/>
    <col min="12314" max="12535" width="11.42578125" style="123"/>
    <col min="12536" max="12536" width="10.5703125" style="123" customWidth="1"/>
    <col min="12537" max="12537" width="4.85546875" style="123" customWidth="1"/>
    <col min="12538" max="12538" width="32.42578125" style="123" customWidth="1"/>
    <col min="12539" max="12539" width="9.85546875" style="123" customWidth="1"/>
    <col min="12540" max="12540" width="10.140625" style="123" customWidth="1"/>
    <col min="12541" max="12541" width="12.28515625" style="123" customWidth="1"/>
    <col min="12542" max="12542" width="15.42578125" style="123" customWidth="1"/>
    <col min="12543" max="12543" width="11.85546875" style="123" customWidth="1"/>
    <col min="12544" max="12544" width="13.28515625" style="123" customWidth="1"/>
    <col min="12545" max="12545" width="15.28515625" style="123" customWidth="1"/>
    <col min="12546" max="12546" width="11.85546875" style="123" customWidth="1"/>
    <col min="12547" max="12547" width="6.140625" style="123" customWidth="1"/>
    <col min="12548" max="12548" width="11.85546875" style="123" customWidth="1"/>
    <col min="12549" max="12549" width="9.42578125" style="123" customWidth="1"/>
    <col min="12550" max="12550" width="14.7109375" style="123" customWidth="1"/>
    <col min="12551" max="12551" width="11.5703125" style="123" customWidth="1"/>
    <col min="12552" max="12552" width="0.42578125" style="123" customWidth="1"/>
    <col min="12553" max="12553" width="10.5703125" style="123" bestFit="1" customWidth="1"/>
    <col min="12554" max="12554" width="12.28515625" style="123" customWidth="1"/>
    <col min="12555" max="12555" width="12.5703125" style="123" customWidth="1"/>
    <col min="12556" max="12556" width="10.5703125" style="123" customWidth="1"/>
    <col min="12557" max="12557" width="10.140625" style="123" customWidth="1"/>
    <col min="12558" max="12558" width="8.42578125" style="123" customWidth="1"/>
    <col min="12559" max="12559" width="18.85546875" style="123" customWidth="1"/>
    <col min="12560" max="12560" width="10.28515625" style="123" customWidth="1"/>
    <col min="12561" max="12561" width="11.42578125" style="123"/>
    <col min="12562" max="12562" width="12.140625" style="123" customWidth="1"/>
    <col min="12563" max="12563" width="10.5703125" style="123" customWidth="1"/>
    <col min="12564" max="12564" width="12.42578125" style="123" customWidth="1"/>
    <col min="12565" max="12565" width="15.140625" style="123" customWidth="1"/>
    <col min="12566" max="12566" width="13.5703125" style="123" customWidth="1"/>
    <col min="12567" max="12567" width="13.140625" style="123" customWidth="1"/>
    <col min="12568" max="12568" width="15.7109375" style="123" customWidth="1"/>
    <col min="12569" max="12569" width="37.5703125" style="123" customWidth="1"/>
    <col min="12570" max="12791" width="11.42578125" style="123"/>
    <col min="12792" max="12792" width="10.5703125" style="123" customWidth="1"/>
    <col min="12793" max="12793" width="4.85546875" style="123" customWidth="1"/>
    <col min="12794" max="12794" width="32.42578125" style="123" customWidth="1"/>
    <col min="12795" max="12795" width="9.85546875" style="123" customWidth="1"/>
    <col min="12796" max="12796" width="10.140625" style="123" customWidth="1"/>
    <col min="12797" max="12797" width="12.28515625" style="123" customWidth="1"/>
    <col min="12798" max="12798" width="15.42578125" style="123" customWidth="1"/>
    <col min="12799" max="12799" width="11.85546875" style="123" customWidth="1"/>
    <col min="12800" max="12800" width="13.28515625" style="123" customWidth="1"/>
    <col min="12801" max="12801" width="15.28515625" style="123" customWidth="1"/>
    <col min="12802" max="12802" width="11.85546875" style="123" customWidth="1"/>
    <col min="12803" max="12803" width="6.140625" style="123" customWidth="1"/>
    <col min="12804" max="12804" width="11.85546875" style="123" customWidth="1"/>
    <col min="12805" max="12805" width="9.42578125" style="123" customWidth="1"/>
    <col min="12806" max="12806" width="14.7109375" style="123" customWidth="1"/>
    <col min="12807" max="12807" width="11.5703125" style="123" customWidth="1"/>
    <col min="12808" max="12808" width="0.42578125" style="123" customWidth="1"/>
    <col min="12809" max="12809" width="10.5703125" style="123" bestFit="1" customWidth="1"/>
    <col min="12810" max="12810" width="12.28515625" style="123" customWidth="1"/>
    <col min="12811" max="12811" width="12.5703125" style="123" customWidth="1"/>
    <col min="12812" max="12812" width="10.5703125" style="123" customWidth="1"/>
    <col min="12813" max="12813" width="10.140625" style="123" customWidth="1"/>
    <col min="12814" max="12814" width="8.42578125" style="123" customWidth="1"/>
    <col min="12815" max="12815" width="18.85546875" style="123" customWidth="1"/>
    <col min="12816" max="12816" width="10.28515625" style="123" customWidth="1"/>
    <col min="12817" max="12817" width="11.42578125" style="123"/>
    <col min="12818" max="12818" width="12.140625" style="123" customWidth="1"/>
    <col min="12819" max="12819" width="10.5703125" style="123" customWidth="1"/>
    <col min="12820" max="12820" width="12.42578125" style="123" customWidth="1"/>
    <col min="12821" max="12821" width="15.140625" style="123" customWidth="1"/>
    <col min="12822" max="12822" width="13.5703125" style="123" customWidth="1"/>
    <col min="12823" max="12823" width="13.140625" style="123" customWidth="1"/>
    <col min="12824" max="12824" width="15.7109375" style="123" customWidth="1"/>
    <col min="12825" max="12825" width="37.5703125" style="123" customWidth="1"/>
    <col min="12826" max="13047" width="11.42578125" style="123"/>
    <col min="13048" max="13048" width="10.5703125" style="123" customWidth="1"/>
    <col min="13049" max="13049" width="4.85546875" style="123" customWidth="1"/>
    <col min="13050" max="13050" width="32.42578125" style="123" customWidth="1"/>
    <col min="13051" max="13051" width="9.85546875" style="123" customWidth="1"/>
    <col min="13052" max="13052" width="10.140625" style="123" customWidth="1"/>
    <col min="13053" max="13053" width="12.28515625" style="123" customWidth="1"/>
    <col min="13054" max="13054" width="15.42578125" style="123" customWidth="1"/>
    <col min="13055" max="13055" width="11.85546875" style="123" customWidth="1"/>
    <col min="13056" max="13056" width="13.28515625" style="123" customWidth="1"/>
    <col min="13057" max="13057" width="15.28515625" style="123" customWidth="1"/>
    <col min="13058" max="13058" width="11.85546875" style="123" customWidth="1"/>
    <col min="13059" max="13059" width="6.140625" style="123" customWidth="1"/>
    <col min="13060" max="13060" width="11.85546875" style="123" customWidth="1"/>
    <col min="13061" max="13061" width="9.42578125" style="123" customWidth="1"/>
    <col min="13062" max="13062" width="14.7109375" style="123" customWidth="1"/>
    <col min="13063" max="13063" width="11.5703125" style="123" customWidth="1"/>
    <col min="13064" max="13064" width="0.42578125" style="123" customWidth="1"/>
    <col min="13065" max="13065" width="10.5703125" style="123" bestFit="1" customWidth="1"/>
    <col min="13066" max="13066" width="12.28515625" style="123" customWidth="1"/>
    <col min="13067" max="13067" width="12.5703125" style="123" customWidth="1"/>
    <col min="13068" max="13068" width="10.5703125" style="123" customWidth="1"/>
    <col min="13069" max="13069" width="10.140625" style="123" customWidth="1"/>
    <col min="13070" max="13070" width="8.42578125" style="123" customWidth="1"/>
    <col min="13071" max="13071" width="18.85546875" style="123" customWidth="1"/>
    <col min="13072" max="13072" width="10.28515625" style="123" customWidth="1"/>
    <col min="13073" max="13073" width="11.42578125" style="123"/>
    <col min="13074" max="13074" width="12.140625" style="123" customWidth="1"/>
    <col min="13075" max="13075" width="10.5703125" style="123" customWidth="1"/>
    <col min="13076" max="13076" width="12.42578125" style="123" customWidth="1"/>
    <col min="13077" max="13077" width="15.140625" style="123" customWidth="1"/>
    <col min="13078" max="13078" width="13.5703125" style="123" customWidth="1"/>
    <col min="13079" max="13079" width="13.140625" style="123" customWidth="1"/>
    <col min="13080" max="13080" width="15.7109375" style="123" customWidth="1"/>
    <col min="13081" max="13081" width="37.5703125" style="123" customWidth="1"/>
    <col min="13082" max="13303" width="11.42578125" style="123"/>
    <col min="13304" max="13304" width="10.5703125" style="123" customWidth="1"/>
    <col min="13305" max="13305" width="4.85546875" style="123" customWidth="1"/>
    <col min="13306" max="13306" width="32.42578125" style="123" customWidth="1"/>
    <col min="13307" max="13307" width="9.85546875" style="123" customWidth="1"/>
    <col min="13308" max="13308" width="10.140625" style="123" customWidth="1"/>
    <col min="13309" max="13309" width="12.28515625" style="123" customWidth="1"/>
    <col min="13310" max="13310" width="15.42578125" style="123" customWidth="1"/>
    <col min="13311" max="13311" width="11.85546875" style="123" customWidth="1"/>
    <col min="13312" max="13312" width="13.28515625" style="123" customWidth="1"/>
    <col min="13313" max="13313" width="15.28515625" style="123" customWidth="1"/>
    <col min="13314" max="13314" width="11.85546875" style="123" customWidth="1"/>
    <col min="13315" max="13315" width="6.140625" style="123" customWidth="1"/>
    <col min="13316" max="13316" width="11.85546875" style="123" customWidth="1"/>
    <col min="13317" max="13317" width="9.42578125" style="123" customWidth="1"/>
    <col min="13318" max="13318" width="14.7109375" style="123" customWidth="1"/>
    <col min="13319" max="13319" width="11.5703125" style="123" customWidth="1"/>
    <col min="13320" max="13320" width="0.42578125" style="123" customWidth="1"/>
    <col min="13321" max="13321" width="10.5703125" style="123" bestFit="1" customWidth="1"/>
    <col min="13322" max="13322" width="12.28515625" style="123" customWidth="1"/>
    <col min="13323" max="13323" width="12.5703125" style="123" customWidth="1"/>
    <col min="13324" max="13324" width="10.5703125" style="123" customWidth="1"/>
    <col min="13325" max="13325" width="10.140625" style="123" customWidth="1"/>
    <col min="13326" max="13326" width="8.42578125" style="123" customWidth="1"/>
    <col min="13327" max="13327" width="18.85546875" style="123" customWidth="1"/>
    <col min="13328" max="13328" width="10.28515625" style="123" customWidth="1"/>
    <col min="13329" max="13329" width="11.42578125" style="123"/>
    <col min="13330" max="13330" width="12.140625" style="123" customWidth="1"/>
    <col min="13331" max="13331" width="10.5703125" style="123" customWidth="1"/>
    <col min="13332" max="13332" width="12.42578125" style="123" customWidth="1"/>
    <col min="13333" max="13333" width="15.140625" style="123" customWidth="1"/>
    <col min="13334" max="13334" width="13.5703125" style="123" customWidth="1"/>
    <col min="13335" max="13335" width="13.140625" style="123" customWidth="1"/>
    <col min="13336" max="13336" width="15.7109375" style="123" customWidth="1"/>
    <col min="13337" max="13337" width="37.5703125" style="123" customWidth="1"/>
    <col min="13338" max="13559" width="11.42578125" style="123"/>
    <col min="13560" max="13560" width="10.5703125" style="123" customWidth="1"/>
    <col min="13561" max="13561" width="4.85546875" style="123" customWidth="1"/>
    <col min="13562" max="13562" width="32.42578125" style="123" customWidth="1"/>
    <col min="13563" max="13563" width="9.85546875" style="123" customWidth="1"/>
    <col min="13564" max="13564" width="10.140625" style="123" customWidth="1"/>
    <col min="13565" max="13565" width="12.28515625" style="123" customWidth="1"/>
    <col min="13566" max="13566" width="15.42578125" style="123" customWidth="1"/>
    <col min="13567" max="13567" width="11.85546875" style="123" customWidth="1"/>
    <col min="13568" max="13568" width="13.28515625" style="123" customWidth="1"/>
    <col min="13569" max="13569" width="15.28515625" style="123" customWidth="1"/>
    <col min="13570" max="13570" width="11.85546875" style="123" customWidth="1"/>
    <col min="13571" max="13571" width="6.140625" style="123" customWidth="1"/>
    <col min="13572" max="13572" width="11.85546875" style="123" customWidth="1"/>
    <col min="13573" max="13573" width="9.42578125" style="123" customWidth="1"/>
    <col min="13574" max="13574" width="14.7109375" style="123" customWidth="1"/>
    <col min="13575" max="13575" width="11.5703125" style="123" customWidth="1"/>
    <col min="13576" max="13576" width="0.42578125" style="123" customWidth="1"/>
    <col min="13577" max="13577" width="10.5703125" style="123" bestFit="1" customWidth="1"/>
    <col min="13578" max="13578" width="12.28515625" style="123" customWidth="1"/>
    <col min="13579" max="13579" width="12.5703125" style="123" customWidth="1"/>
    <col min="13580" max="13580" width="10.5703125" style="123" customWidth="1"/>
    <col min="13581" max="13581" width="10.140625" style="123" customWidth="1"/>
    <col min="13582" max="13582" width="8.42578125" style="123" customWidth="1"/>
    <col min="13583" max="13583" width="18.85546875" style="123" customWidth="1"/>
    <col min="13584" max="13584" width="10.28515625" style="123" customWidth="1"/>
    <col min="13585" max="13585" width="11.42578125" style="123"/>
    <col min="13586" max="13586" width="12.140625" style="123" customWidth="1"/>
    <col min="13587" max="13587" width="10.5703125" style="123" customWidth="1"/>
    <col min="13588" max="13588" width="12.42578125" style="123" customWidth="1"/>
    <col min="13589" max="13589" width="15.140625" style="123" customWidth="1"/>
    <col min="13590" max="13590" width="13.5703125" style="123" customWidth="1"/>
    <col min="13591" max="13591" width="13.140625" style="123" customWidth="1"/>
    <col min="13592" max="13592" width="15.7109375" style="123" customWidth="1"/>
    <col min="13593" max="13593" width="37.5703125" style="123" customWidth="1"/>
    <col min="13594" max="13815" width="11.42578125" style="123"/>
    <col min="13816" max="13816" width="10.5703125" style="123" customWidth="1"/>
    <col min="13817" max="13817" width="4.85546875" style="123" customWidth="1"/>
    <col min="13818" max="13818" width="32.42578125" style="123" customWidth="1"/>
    <col min="13819" max="13819" width="9.85546875" style="123" customWidth="1"/>
    <col min="13820" max="13820" width="10.140625" style="123" customWidth="1"/>
    <col min="13821" max="13821" width="12.28515625" style="123" customWidth="1"/>
    <col min="13822" max="13822" width="15.42578125" style="123" customWidth="1"/>
    <col min="13823" max="13823" width="11.85546875" style="123" customWidth="1"/>
    <col min="13824" max="13824" width="13.28515625" style="123" customWidth="1"/>
    <col min="13825" max="13825" width="15.28515625" style="123" customWidth="1"/>
    <col min="13826" max="13826" width="11.85546875" style="123" customWidth="1"/>
    <col min="13827" max="13827" width="6.140625" style="123" customWidth="1"/>
    <col min="13828" max="13828" width="11.85546875" style="123" customWidth="1"/>
    <col min="13829" max="13829" width="9.42578125" style="123" customWidth="1"/>
    <col min="13830" max="13830" width="14.7109375" style="123" customWidth="1"/>
    <col min="13831" max="13831" width="11.5703125" style="123" customWidth="1"/>
    <col min="13832" max="13832" width="0.42578125" style="123" customWidth="1"/>
    <col min="13833" max="13833" width="10.5703125" style="123" bestFit="1" customWidth="1"/>
    <col min="13834" max="13834" width="12.28515625" style="123" customWidth="1"/>
    <col min="13835" max="13835" width="12.5703125" style="123" customWidth="1"/>
    <col min="13836" max="13836" width="10.5703125" style="123" customWidth="1"/>
    <col min="13837" max="13837" width="10.140625" style="123" customWidth="1"/>
    <col min="13838" max="13838" width="8.42578125" style="123" customWidth="1"/>
    <col min="13839" max="13839" width="18.85546875" style="123" customWidth="1"/>
    <col min="13840" max="13840" width="10.28515625" style="123" customWidth="1"/>
    <col min="13841" max="13841" width="11.42578125" style="123"/>
    <col min="13842" max="13842" width="12.140625" style="123" customWidth="1"/>
    <col min="13843" max="13843" width="10.5703125" style="123" customWidth="1"/>
    <col min="13844" max="13844" width="12.42578125" style="123" customWidth="1"/>
    <col min="13845" max="13845" width="15.140625" style="123" customWidth="1"/>
    <col min="13846" max="13846" width="13.5703125" style="123" customWidth="1"/>
    <col min="13847" max="13847" width="13.140625" style="123" customWidth="1"/>
    <col min="13848" max="13848" width="15.7109375" style="123" customWidth="1"/>
    <col min="13849" max="13849" width="37.5703125" style="123" customWidth="1"/>
    <col min="13850" max="14071" width="11.42578125" style="123"/>
    <col min="14072" max="14072" width="10.5703125" style="123" customWidth="1"/>
    <col min="14073" max="14073" width="4.85546875" style="123" customWidth="1"/>
    <col min="14074" max="14074" width="32.42578125" style="123" customWidth="1"/>
    <col min="14075" max="14075" width="9.85546875" style="123" customWidth="1"/>
    <col min="14076" max="14076" width="10.140625" style="123" customWidth="1"/>
    <col min="14077" max="14077" width="12.28515625" style="123" customWidth="1"/>
    <col min="14078" max="14078" width="15.42578125" style="123" customWidth="1"/>
    <col min="14079" max="14079" width="11.85546875" style="123" customWidth="1"/>
    <col min="14080" max="14080" width="13.28515625" style="123" customWidth="1"/>
    <col min="14081" max="14081" width="15.28515625" style="123" customWidth="1"/>
    <col min="14082" max="14082" width="11.85546875" style="123" customWidth="1"/>
    <col min="14083" max="14083" width="6.140625" style="123" customWidth="1"/>
    <col min="14084" max="14084" width="11.85546875" style="123" customWidth="1"/>
    <col min="14085" max="14085" width="9.42578125" style="123" customWidth="1"/>
    <col min="14086" max="14086" width="14.7109375" style="123" customWidth="1"/>
    <col min="14087" max="14087" width="11.5703125" style="123" customWidth="1"/>
    <col min="14088" max="14088" width="0.42578125" style="123" customWidth="1"/>
    <col min="14089" max="14089" width="10.5703125" style="123" bestFit="1" customWidth="1"/>
    <col min="14090" max="14090" width="12.28515625" style="123" customWidth="1"/>
    <col min="14091" max="14091" width="12.5703125" style="123" customWidth="1"/>
    <col min="14092" max="14092" width="10.5703125" style="123" customWidth="1"/>
    <col min="14093" max="14093" width="10.140625" style="123" customWidth="1"/>
    <col min="14094" max="14094" width="8.42578125" style="123" customWidth="1"/>
    <col min="14095" max="14095" width="18.85546875" style="123" customWidth="1"/>
    <col min="14096" max="14096" width="10.28515625" style="123" customWidth="1"/>
    <col min="14097" max="14097" width="11.42578125" style="123"/>
    <col min="14098" max="14098" width="12.140625" style="123" customWidth="1"/>
    <col min="14099" max="14099" width="10.5703125" style="123" customWidth="1"/>
    <col min="14100" max="14100" width="12.42578125" style="123" customWidth="1"/>
    <col min="14101" max="14101" width="15.140625" style="123" customWidth="1"/>
    <col min="14102" max="14102" width="13.5703125" style="123" customWidth="1"/>
    <col min="14103" max="14103" width="13.140625" style="123" customWidth="1"/>
    <col min="14104" max="14104" width="15.7109375" style="123" customWidth="1"/>
    <col min="14105" max="14105" width="37.5703125" style="123" customWidth="1"/>
    <col min="14106" max="14327" width="11.42578125" style="123"/>
    <col min="14328" max="14328" width="10.5703125" style="123" customWidth="1"/>
    <col min="14329" max="14329" width="4.85546875" style="123" customWidth="1"/>
    <col min="14330" max="14330" width="32.42578125" style="123" customWidth="1"/>
    <col min="14331" max="14331" width="9.85546875" style="123" customWidth="1"/>
    <col min="14332" max="14332" width="10.140625" style="123" customWidth="1"/>
    <col min="14333" max="14333" width="12.28515625" style="123" customWidth="1"/>
    <col min="14334" max="14334" width="15.42578125" style="123" customWidth="1"/>
    <col min="14335" max="14335" width="11.85546875" style="123" customWidth="1"/>
    <col min="14336" max="14336" width="13.28515625" style="123" customWidth="1"/>
    <col min="14337" max="14337" width="15.28515625" style="123" customWidth="1"/>
    <col min="14338" max="14338" width="11.85546875" style="123" customWidth="1"/>
    <col min="14339" max="14339" width="6.140625" style="123" customWidth="1"/>
    <col min="14340" max="14340" width="11.85546875" style="123" customWidth="1"/>
    <col min="14341" max="14341" width="9.42578125" style="123" customWidth="1"/>
    <col min="14342" max="14342" width="14.7109375" style="123" customWidth="1"/>
    <col min="14343" max="14343" width="11.5703125" style="123" customWidth="1"/>
    <col min="14344" max="14344" width="0.42578125" style="123" customWidth="1"/>
    <col min="14345" max="14345" width="10.5703125" style="123" bestFit="1" customWidth="1"/>
    <col min="14346" max="14346" width="12.28515625" style="123" customWidth="1"/>
    <col min="14347" max="14347" width="12.5703125" style="123" customWidth="1"/>
    <col min="14348" max="14348" width="10.5703125" style="123" customWidth="1"/>
    <col min="14349" max="14349" width="10.140625" style="123" customWidth="1"/>
    <col min="14350" max="14350" width="8.42578125" style="123" customWidth="1"/>
    <col min="14351" max="14351" width="18.85546875" style="123" customWidth="1"/>
    <col min="14352" max="14352" width="10.28515625" style="123" customWidth="1"/>
    <col min="14353" max="14353" width="11.42578125" style="123"/>
    <col min="14354" max="14354" width="12.140625" style="123" customWidth="1"/>
    <col min="14355" max="14355" width="10.5703125" style="123" customWidth="1"/>
    <col min="14356" max="14356" width="12.42578125" style="123" customWidth="1"/>
    <col min="14357" max="14357" width="15.140625" style="123" customWidth="1"/>
    <col min="14358" max="14358" width="13.5703125" style="123" customWidth="1"/>
    <col min="14359" max="14359" width="13.140625" style="123" customWidth="1"/>
    <col min="14360" max="14360" width="15.7109375" style="123" customWidth="1"/>
    <col min="14361" max="14361" width="37.5703125" style="123" customWidth="1"/>
    <col min="14362" max="14583" width="11.42578125" style="123"/>
    <col min="14584" max="14584" width="10.5703125" style="123" customWidth="1"/>
    <col min="14585" max="14585" width="4.85546875" style="123" customWidth="1"/>
    <col min="14586" max="14586" width="32.42578125" style="123" customWidth="1"/>
    <col min="14587" max="14587" width="9.85546875" style="123" customWidth="1"/>
    <col min="14588" max="14588" width="10.140625" style="123" customWidth="1"/>
    <col min="14589" max="14589" width="12.28515625" style="123" customWidth="1"/>
    <col min="14590" max="14590" width="15.42578125" style="123" customWidth="1"/>
    <col min="14591" max="14591" width="11.85546875" style="123" customWidth="1"/>
    <col min="14592" max="14592" width="13.28515625" style="123" customWidth="1"/>
    <col min="14593" max="14593" width="15.28515625" style="123" customWidth="1"/>
    <col min="14594" max="14594" width="11.85546875" style="123" customWidth="1"/>
    <col min="14595" max="14595" width="6.140625" style="123" customWidth="1"/>
    <col min="14596" max="14596" width="11.85546875" style="123" customWidth="1"/>
    <col min="14597" max="14597" width="9.42578125" style="123" customWidth="1"/>
    <col min="14598" max="14598" width="14.7109375" style="123" customWidth="1"/>
    <col min="14599" max="14599" width="11.5703125" style="123" customWidth="1"/>
    <col min="14600" max="14600" width="0.42578125" style="123" customWidth="1"/>
    <col min="14601" max="14601" width="10.5703125" style="123" bestFit="1" customWidth="1"/>
    <col min="14602" max="14602" width="12.28515625" style="123" customWidth="1"/>
    <col min="14603" max="14603" width="12.5703125" style="123" customWidth="1"/>
    <col min="14604" max="14604" width="10.5703125" style="123" customWidth="1"/>
    <col min="14605" max="14605" width="10.140625" style="123" customWidth="1"/>
    <col min="14606" max="14606" width="8.42578125" style="123" customWidth="1"/>
    <col min="14607" max="14607" width="18.85546875" style="123" customWidth="1"/>
    <col min="14608" max="14608" width="10.28515625" style="123" customWidth="1"/>
    <col min="14609" max="14609" width="11.42578125" style="123"/>
    <col min="14610" max="14610" width="12.140625" style="123" customWidth="1"/>
    <col min="14611" max="14611" width="10.5703125" style="123" customWidth="1"/>
    <col min="14612" max="14612" width="12.42578125" style="123" customWidth="1"/>
    <col min="14613" max="14613" width="15.140625" style="123" customWidth="1"/>
    <col min="14614" max="14614" width="13.5703125" style="123" customWidth="1"/>
    <col min="14615" max="14615" width="13.140625" style="123" customWidth="1"/>
    <col min="14616" max="14616" width="15.7109375" style="123" customWidth="1"/>
    <col min="14617" max="14617" width="37.5703125" style="123" customWidth="1"/>
    <col min="14618" max="14839" width="11.42578125" style="123"/>
    <col min="14840" max="14840" width="10.5703125" style="123" customWidth="1"/>
    <col min="14841" max="14841" width="4.85546875" style="123" customWidth="1"/>
    <col min="14842" max="14842" width="32.42578125" style="123" customWidth="1"/>
    <col min="14843" max="14843" width="9.85546875" style="123" customWidth="1"/>
    <col min="14844" max="14844" width="10.140625" style="123" customWidth="1"/>
    <col min="14845" max="14845" width="12.28515625" style="123" customWidth="1"/>
    <col min="14846" max="14846" width="15.42578125" style="123" customWidth="1"/>
    <col min="14847" max="14847" width="11.85546875" style="123" customWidth="1"/>
    <col min="14848" max="14848" width="13.28515625" style="123" customWidth="1"/>
    <col min="14849" max="14849" width="15.28515625" style="123" customWidth="1"/>
    <col min="14850" max="14850" width="11.85546875" style="123" customWidth="1"/>
    <col min="14851" max="14851" width="6.140625" style="123" customWidth="1"/>
    <col min="14852" max="14852" width="11.85546875" style="123" customWidth="1"/>
    <col min="14853" max="14853" width="9.42578125" style="123" customWidth="1"/>
    <col min="14854" max="14854" width="14.7109375" style="123" customWidth="1"/>
    <col min="14855" max="14855" width="11.5703125" style="123" customWidth="1"/>
    <col min="14856" max="14856" width="0.42578125" style="123" customWidth="1"/>
    <col min="14857" max="14857" width="10.5703125" style="123" bestFit="1" customWidth="1"/>
    <col min="14858" max="14858" width="12.28515625" style="123" customWidth="1"/>
    <col min="14859" max="14859" width="12.5703125" style="123" customWidth="1"/>
    <col min="14860" max="14860" width="10.5703125" style="123" customWidth="1"/>
    <col min="14861" max="14861" width="10.140625" style="123" customWidth="1"/>
    <col min="14862" max="14862" width="8.42578125" style="123" customWidth="1"/>
    <col min="14863" max="14863" width="18.85546875" style="123" customWidth="1"/>
    <col min="14864" max="14864" width="10.28515625" style="123" customWidth="1"/>
    <col min="14865" max="14865" width="11.42578125" style="123"/>
    <col min="14866" max="14866" width="12.140625" style="123" customWidth="1"/>
    <col min="14867" max="14867" width="10.5703125" style="123" customWidth="1"/>
    <col min="14868" max="14868" width="12.42578125" style="123" customWidth="1"/>
    <col min="14869" max="14869" width="15.140625" style="123" customWidth="1"/>
    <col min="14870" max="14870" width="13.5703125" style="123" customWidth="1"/>
    <col min="14871" max="14871" width="13.140625" style="123" customWidth="1"/>
    <col min="14872" max="14872" width="15.7109375" style="123" customWidth="1"/>
    <col min="14873" max="14873" width="37.5703125" style="123" customWidth="1"/>
    <col min="14874" max="15095" width="11.42578125" style="123"/>
    <col min="15096" max="15096" width="10.5703125" style="123" customWidth="1"/>
    <col min="15097" max="15097" width="4.85546875" style="123" customWidth="1"/>
    <col min="15098" max="15098" width="32.42578125" style="123" customWidth="1"/>
    <col min="15099" max="15099" width="9.85546875" style="123" customWidth="1"/>
    <col min="15100" max="15100" width="10.140625" style="123" customWidth="1"/>
    <col min="15101" max="15101" width="12.28515625" style="123" customWidth="1"/>
    <col min="15102" max="15102" width="15.42578125" style="123" customWidth="1"/>
    <col min="15103" max="15103" width="11.85546875" style="123" customWidth="1"/>
    <col min="15104" max="15104" width="13.28515625" style="123" customWidth="1"/>
    <col min="15105" max="15105" width="15.28515625" style="123" customWidth="1"/>
    <col min="15106" max="15106" width="11.85546875" style="123" customWidth="1"/>
    <col min="15107" max="15107" width="6.140625" style="123" customWidth="1"/>
    <col min="15108" max="15108" width="11.85546875" style="123" customWidth="1"/>
    <col min="15109" max="15109" width="9.42578125" style="123" customWidth="1"/>
    <col min="15110" max="15110" width="14.7109375" style="123" customWidth="1"/>
    <col min="15111" max="15111" width="11.5703125" style="123" customWidth="1"/>
    <col min="15112" max="15112" width="0.42578125" style="123" customWidth="1"/>
    <col min="15113" max="15113" width="10.5703125" style="123" bestFit="1" customWidth="1"/>
    <col min="15114" max="15114" width="12.28515625" style="123" customWidth="1"/>
    <col min="15115" max="15115" width="12.5703125" style="123" customWidth="1"/>
    <col min="15116" max="15116" width="10.5703125" style="123" customWidth="1"/>
    <col min="15117" max="15117" width="10.140625" style="123" customWidth="1"/>
    <col min="15118" max="15118" width="8.42578125" style="123" customWidth="1"/>
    <col min="15119" max="15119" width="18.85546875" style="123" customWidth="1"/>
    <col min="15120" max="15120" width="10.28515625" style="123" customWidth="1"/>
    <col min="15121" max="15121" width="11.42578125" style="123"/>
    <col min="15122" max="15122" width="12.140625" style="123" customWidth="1"/>
    <col min="15123" max="15123" width="10.5703125" style="123" customWidth="1"/>
    <col min="15124" max="15124" width="12.42578125" style="123" customWidth="1"/>
    <col min="15125" max="15125" width="15.140625" style="123" customWidth="1"/>
    <col min="15126" max="15126" width="13.5703125" style="123" customWidth="1"/>
    <col min="15127" max="15127" width="13.140625" style="123" customWidth="1"/>
    <col min="15128" max="15128" width="15.7109375" style="123" customWidth="1"/>
    <col min="15129" max="15129" width="37.5703125" style="123" customWidth="1"/>
    <col min="15130" max="15351" width="11.42578125" style="123"/>
    <col min="15352" max="15352" width="10.5703125" style="123" customWidth="1"/>
    <col min="15353" max="15353" width="4.85546875" style="123" customWidth="1"/>
    <col min="15354" max="15354" width="32.42578125" style="123" customWidth="1"/>
    <col min="15355" max="15355" width="9.85546875" style="123" customWidth="1"/>
    <col min="15356" max="15356" width="10.140625" style="123" customWidth="1"/>
    <col min="15357" max="15357" width="12.28515625" style="123" customWidth="1"/>
    <col min="15358" max="15358" width="15.42578125" style="123" customWidth="1"/>
    <col min="15359" max="15359" width="11.85546875" style="123" customWidth="1"/>
    <col min="15360" max="15360" width="13.28515625" style="123" customWidth="1"/>
    <col min="15361" max="15361" width="15.28515625" style="123" customWidth="1"/>
    <col min="15362" max="15362" width="11.85546875" style="123" customWidth="1"/>
    <col min="15363" max="15363" width="6.140625" style="123" customWidth="1"/>
    <col min="15364" max="15364" width="11.85546875" style="123" customWidth="1"/>
    <col min="15365" max="15365" width="9.42578125" style="123" customWidth="1"/>
    <col min="15366" max="15366" width="14.7109375" style="123" customWidth="1"/>
    <col min="15367" max="15367" width="11.5703125" style="123" customWidth="1"/>
    <col min="15368" max="15368" width="0.42578125" style="123" customWidth="1"/>
    <col min="15369" max="15369" width="10.5703125" style="123" bestFit="1" customWidth="1"/>
    <col min="15370" max="15370" width="12.28515625" style="123" customWidth="1"/>
    <col min="15371" max="15371" width="12.5703125" style="123" customWidth="1"/>
    <col min="15372" max="15372" width="10.5703125" style="123" customWidth="1"/>
    <col min="15373" max="15373" width="10.140625" style="123" customWidth="1"/>
    <col min="15374" max="15374" width="8.42578125" style="123" customWidth="1"/>
    <col min="15375" max="15375" width="18.85546875" style="123" customWidth="1"/>
    <col min="15376" max="15376" width="10.28515625" style="123" customWidth="1"/>
    <col min="15377" max="15377" width="11.42578125" style="123"/>
    <col min="15378" max="15378" width="12.140625" style="123" customWidth="1"/>
    <col min="15379" max="15379" width="10.5703125" style="123" customWidth="1"/>
    <col min="15380" max="15380" width="12.42578125" style="123" customWidth="1"/>
    <col min="15381" max="15381" width="15.140625" style="123" customWidth="1"/>
    <col min="15382" max="15382" width="13.5703125" style="123" customWidth="1"/>
    <col min="15383" max="15383" width="13.140625" style="123" customWidth="1"/>
    <col min="15384" max="15384" width="15.7109375" style="123" customWidth="1"/>
    <col min="15385" max="15385" width="37.5703125" style="123" customWidth="1"/>
    <col min="15386" max="15607" width="11.42578125" style="123"/>
    <col min="15608" max="15608" width="10.5703125" style="123" customWidth="1"/>
    <col min="15609" max="15609" width="4.85546875" style="123" customWidth="1"/>
    <col min="15610" max="15610" width="32.42578125" style="123" customWidth="1"/>
    <col min="15611" max="15611" width="9.85546875" style="123" customWidth="1"/>
    <col min="15612" max="15612" width="10.140625" style="123" customWidth="1"/>
    <col min="15613" max="15613" width="12.28515625" style="123" customWidth="1"/>
    <col min="15614" max="15614" width="15.42578125" style="123" customWidth="1"/>
    <col min="15615" max="15615" width="11.85546875" style="123" customWidth="1"/>
    <col min="15616" max="15616" width="13.28515625" style="123" customWidth="1"/>
    <col min="15617" max="15617" width="15.28515625" style="123" customWidth="1"/>
    <col min="15618" max="15618" width="11.85546875" style="123" customWidth="1"/>
    <col min="15619" max="15619" width="6.140625" style="123" customWidth="1"/>
    <col min="15620" max="15620" width="11.85546875" style="123" customWidth="1"/>
    <col min="15621" max="15621" width="9.42578125" style="123" customWidth="1"/>
    <col min="15622" max="15622" width="14.7109375" style="123" customWidth="1"/>
    <col min="15623" max="15623" width="11.5703125" style="123" customWidth="1"/>
    <col min="15624" max="15624" width="0.42578125" style="123" customWidth="1"/>
    <col min="15625" max="15625" width="10.5703125" style="123" bestFit="1" customWidth="1"/>
    <col min="15626" max="15626" width="12.28515625" style="123" customWidth="1"/>
    <col min="15627" max="15627" width="12.5703125" style="123" customWidth="1"/>
    <col min="15628" max="15628" width="10.5703125" style="123" customWidth="1"/>
    <col min="15629" max="15629" width="10.140625" style="123" customWidth="1"/>
    <col min="15630" max="15630" width="8.42578125" style="123" customWidth="1"/>
    <col min="15631" max="15631" width="18.85546875" style="123" customWidth="1"/>
    <col min="15632" max="15632" width="10.28515625" style="123" customWidth="1"/>
    <col min="15633" max="15633" width="11.42578125" style="123"/>
    <col min="15634" max="15634" width="12.140625" style="123" customWidth="1"/>
    <col min="15635" max="15635" width="10.5703125" style="123" customWidth="1"/>
    <col min="15636" max="15636" width="12.42578125" style="123" customWidth="1"/>
    <col min="15637" max="15637" width="15.140625" style="123" customWidth="1"/>
    <col min="15638" max="15638" width="13.5703125" style="123" customWidth="1"/>
    <col min="15639" max="15639" width="13.140625" style="123" customWidth="1"/>
    <col min="15640" max="15640" width="15.7109375" style="123" customWidth="1"/>
    <col min="15641" max="15641" width="37.5703125" style="123" customWidth="1"/>
    <col min="15642" max="15863" width="11.42578125" style="123"/>
    <col min="15864" max="15864" width="10.5703125" style="123" customWidth="1"/>
    <col min="15865" max="15865" width="4.85546875" style="123" customWidth="1"/>
    <col min="15866" max="15866" width="32.42578125" style="123" customWidth="1"/>
    <col min="15867" max="15867" width="9.85546875" style="123" customWidth="1"/>
    <col min="15868" max="15868" width="10.140625" style="123" customWidth="1"/>
    <col min="15869" max="15869" width="12.28515625" style="123" customWidth="1"/>
    <col min="15870" max="15870" width="15.42578125" style="123" customWidth="1"/>
    <col min="15871" max="15871" width="11.85546875" style="123" customWidth="1"/>
    <col min="15872" max="15872" width="13.28515625" style="123" customWidth="1"/>
    <col min="15873" max="15873" width="15.28515625" style="123" customWidth="1"/>
    <col min="15874" max="15874" width="11.85546875" style="123" customWidth="1"/>
    <col min="15875" max="15875" width="6.140625" style="123" customWidth="1"/>
    <col min="15876" max="15876" width="11.85546875" style="123" customWidth="1"/>
    <col min="15877" max="15877" width="9.42578125" style="123" customWidth="1"/>
    <col min="15878" max="15878" width="14.7109375" style="123" customWidth="1"/>
    <col min="15879" max="15879" width="11.5703125" style="123" customWidth="1"/>
    <col min="15880" max="15880" width="0.42578125" style="123" customWidth="1"/>
    <col min="15881" max="15881" width="10.5703125" style="123" bestFit="1" customWidth="1"/>
    <col min="15882" max="15882" width="12.28515625" style="123" customWidth="1"/>
    <col min="15883" max="15883" width="12.5703125" style="123" customWidth="1"/>
    <col min="15884" max="15884" width="10.5703125" style="123" customWidth="1"/>
    <col min="15885" max="15885" width="10.140625" style="123" customWidth="1"/>
    <col min="15886" max="15886" width="8.42578125" style="123" customWidth="1"/>
    <col min="15887" max="15887" width="18.85546875" style="123" customWidth="1"/>
    <col min="15888" max="15888" width="10.28515625" style="123" customWidth="1"/>
    <col min="15889" max="15889" width="11.42578125" style="123"/>
    <col min="15890" max="15890" width="12.140625" style="123" customWidth="1"/>
    <col min="15891" max="15891" width="10.5703125" style="123" customWidth="1"/>
    <col min="15892" max="15892" width="12.42578125" style="123" customWidth="1"/>
    <col min="15893" max="15893" width="15.140625" style="123" customWidth="1"/>
    <col min="15894" max="15894" width="13.5703125" style="123" customWidth="1"/>
    <col min="15895" max="15895" width="13.140625" style="123" customWidth="1"/>
    <col min="15896" max="15896" width="15.7109375" style="123" customWidth="1"/>
    <col min="15897" max="15897" width="37.5703125" style="123" customWidth="1"/>
    <col min="15898" max="16119" width="11.42578125" style="123"/>
    <col min="16120" max="16120" width="10.5703125" style="123" customWidth="1"/>
    <col min="16121" max="16121" width="4.85546875" style="123" customWidth="1"/>
    <col min="16122" max="16122" width="32.42578125" style="123" customWidth="1"/>
    <col min="16123" max="16123" width="9.85546875" style="123" customWidth="1"/>
    <col min="16124" max="16124" width="10.140625" style="123" customWidth="1"/>
    <col min="16125" max="16125" width="12.28515625" style="123" customWidth="1"/>
    <col min="16126" max="16126" width="15.42578125" style="123" customWidth="1"/>
    <col min="16127" max="16127" width="11.85546875" style="123" customWidth="1"/>
    <col min="16128" max="16128" width="13.28515625" style="123" customWidth="1"/>
    <col min="16129" max="16129" width="15.28515625" style="123" customWidth="1"/>
    <col min="16130" max="16130" width="11.85546875" style="123" customWidth="1"/>
    <col min="16131" max="16131" width="6.140625" style="123" customWidth="1"/>
    <col min="16132" max="16132" width="11.85546875" style="123" customWidth="1"/>
    <col min="16133" max="16133" width="9.42578125" style="123" customWidth="1"/>
    <col min="16134" max="16134" width="14.7109375" style="123" customWidth="1"/>
    <col min="16135" max="16135" width="11.5703125" style="123" customWidth="1"/>
    <col min="16136" max="16136" width="0.42578125" style="123" customWidth="1"/>
    <col min="16137" max="16137" width="10.5703125" style="123" bestFit="1" customWidth="1"/>
    <col min="16138" max="16138" width="12.28515625" style="123" customWidth="1"/>
    <col min="16139" max="16139" width="12.5703125" style="123" customWidth="1"/>
    <col min="16140" max="16140" width="10.5703125" style="123" customWidth="1"/>
    <col min="16141" max="16141" width="10.140625" style="123" customWidth="1"/>
    <col min="16142" max="16142" width="8.42578125" style="123" customWidth="1"/>
    <col min="16143" max="16143" width="18.85546875" style="123" customWidth="1"/>
    <col min="16144" max="16144" width="10.28515625" style="123" customWidth="1"/>
    <col min="16145" max="16145" width="11.42578125" style="123"/>
    <col min="16146" max="16146" width="12.140625" style="123" customWidth="1"/>
    <col min="16147" max="16147" width="10.5703125" style="123" customWidth="1"/>
    <col min="16148" max="16148" width="12.42578125" style="123" customWidth="1"/>
    <col min="16149" max="16149" width="15.140625" style="123" customWidth="1"/>
    <col min="16150" max="16150" width="13.5703125" style="123" customWidth="1"/>
    <col min="16151" max="16151" width="13.140625" style="123" customWidth="1"/>
    <col min="16152" max="16152" width="15.7109375" style="123" customWidth="1"/>
    <col min="16153" max="16153" width="37.5703125" style="123" customWidth="1"/>
    <col min="16154" max="16384" width="11.42578125" style="123"/>
  </cols>
  <sheetData>
    <row r="1" spans="1:25" ht="11.25" x14ac:dyDescent="0.25">
      <c r="A1" s="121"/>
      <c r="B1" s="121"/>
      <c r="C1" s="221" t="s">
        <v>170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8"/>
      <c r="W1" s="122"/>
      <c r="X1" s="8"/>
      <c r="Y1" s="11"/>
    </row>
    <row r="2" spans="1:25" ht="11.25" x14ac:dyDescent="0.25">
      <c r="A2" s="121"/>
      <c r="B2" s="121"/>
      <c r="C2" s="9" t="s">
        <v>1</v>
      </c>
      <c r="D2" s="8"/>
      <c r="E2" s="222" t="s">
        <v>2</v>
      </c>
      <c r="F2" s="222"/>
      <c r="G2" s="222"/>
      <c r="H2" s="222"/>
      <c r="I2" s="222"/>
      <c r="J2" s="222"/>
      <c r="K2" s="222"/>
      <c r="L2" s="222" t="s">
        <v>3</v>
      </c>
      <c r="M2" s="222"/>
      <c r="N2" s="222"/>
      <c r="O2" s="222"/>
      <c r="P2" s="222"/>
      <c r="Q2" s="222"/>
      <c r="R2" s="222"/>
      <c r="S2" s="222"/>
      <c r="T2" s="222"/>
      <c r="U2" s="8"/>
      <c r="V2" s="8"/>
      <c r="W2" s="122"/>
      <c r="X2" s="8"/>
      <c r="Y2" s="11"/>
    </row>
    <row r="3" spans="1:25" s="121" customFormat="1" ht="45" x14ac:dyDescent="0.25">
      <c r="A3" s="223" t="s">
        <v>4</v>
      </c>
      <c r="B3" s="2" t="s">
        <v>5</v>
      </c>
      <c r="C3" s="2" t="s">
        <v>6</v>
      </c>
      <c r="D3" s="2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171</v>
      </c>
      <c r="N3" s="4" t="s">
        <v>20</v>
      </c>
      <c r="O3" s="4" t="s">
        <v>21</v>
      </c>
      <c r="P3" s="4" t="s">
        <v>23</v>
      </c>
      <c r="Q3" s="4" t="s">
        <v>24</v>
      </c>
      <c r="R3" s="4" t="s">
        <v>25</v>
      </c>
      <c r="S3" s="4" t="s">
        <v>26</v>
      </c>
      <c r="T3" s="4" t="s">
        <v>27</v>
      </c>
      <c r="U3" s="2" t="s">
        <v>28</v>
      </c>
      <c r="V3" s="2"/>
      <c r="W3" s="124"/>
      <c r="X3" s="2" t="s">
        <v>29</v>
      </c>
      <c r="Y3" s="2" t="s">
        <v>30</v>
      </c>
    </row>
    <row r="4" spans="1:25" ht="14.25" x14ac:dyDescent="0.2">
      <c r="A4" s="224"/>
      <c r="B4" s="8">
        <v>1</v>
      </c>
      <c r="C4" s="1" t="s">
        <v>31</v>
      </c>
      <c r="D4" s="2" t="s">
        <v>32</v>
      </c>
      <c r="E4" s="5">
        <v>4500000</v>
      </c>
      <c r="F4" s="5">
        <v>30</v>
      </c>
      <c r="G4" s="5">
        <f t="shared" ref="G4:G8" si="0">+E4/30*F4</f>
        <v>4500000</v>
      </c>
      <c r="H4" s="5"/>
      <c r="I4" s="5"/>
      <c r="J4" s="5"/>
      <c r="K4" s="5">
        <f t="shared" ref="K4:K35" si="1">SUM(G4:I4)+J4</f>
        <v>4500000</v>
      </c>
      <c r="L4" s="5">
        <f t="shared" ref="L4:L46" si="2">+G4*4%</f>
        <v>180000</v>
      </c>
      <c r="M4" s="5">
        <f>+G4*5%</f>
        <v>225000</v>
      </c>
      <c r="N4" s="5"/>
      <c r="O4" s="5"/>
      <c r="P4" s="5">
        <v>98752</v>
      </c>
      <c r="Q4" s="5"/>
      <c r="R4" s="5"/>
      <c r="S4" s="5"/>
      <c r="T4" s="5">
        <f t="shared" ref="T4:T47" si="3">SUM(L4:S4)</f>
        <v>503752</v>
      </c>
      <c r="U4" s="6">
        <f>+K4-T4</f>
        <v>3996248</v>
      </c>
      <c r="V4" s="6"/>
      <c r="W4" s="122"/>
      <c r="X4" s="6">
        <f t="shared" ref="X4:X10" si="4">U4+V4-W4</f>
        <v>3996248</v>
      </c>
      <c r="Y4" s="119" t="s">
        <v>33</v>
      </c>
    </row>
    <row r="5" spans="1:25" ht="14.25" x14ac:dyDescent="0.2">
      <c r="A5" s="224"/>
      <c r="B5" s="8">
        <v>2</v>
      </c>
      <c r="C5" s="1" t="s">
        <v>34</v>
      </c>
      <c r="D5" s="2" t="s">
        <v>32</v>
      </c>
      <c r="E5" s="5">
        <v>4000000</v>
      </c>
      <c r="F5" s="5">
        <v>30</v>
      </c>
      <c r="G5" s="5">
        <f t="shared" si="0"/>
        <v>4000000.0000000005</v>
      </c>
      <c r="H5" s="5"/>
      <c r="I5" s="5"/>
      <c r="J5" s="5"/>
      <c r="K5" s="5">
        <f t="shared" si="1"/>
        <v>4000000.0000000005</v>
      </c>
      <c r="L5" s="5">
        <f t="shared" si="2"/>
        <v>160000.00000000003</v>
      </c>
      <c r="M5" s="5">
        <f t="shared" ref="M5:M45" si="5">+G5*5%</f>
        <v>200000.00000000003</v>
      </c>
      <c r="N5" s="5"/>
      <c r="O5" s="5"/>
      <c r="P5" s="5">
        <v>31064</v>
      </c>
      <c r="Q5" s="5"/>
      <c r="R5" s="5"/>
      <c r="S5" s="5"/>
      <c r="T5" s="5">
        <f t="shared" si="3"/>
        <v>391064.00000000006</v>
      </c>
      <c r="U5" s="6">
        <f>+K5-T5</f>
        <v>3608936.0000000005</v>
      </c>
      <c r="V5" s="6"/>
      <c r="W5" s="122"/>
      <c r="X5" s="6">
        <f t="shared" si="4"/>
        <v>3608936.0000000005</v>
      </c>
      <c r="Y5" s="119" t="s">
        <v>33</v>
      </c>
    </row>
    <row r="6" spans="1:25" ht="14.25" x14ac:dyDescent="0.2">
      <c r="A6" s="224"/>
      <c r="B6" s="8">
        <v>3</v>
      </c>
      <c r="C6" s="1" t="s">
        <v>35</v>
      </c>
      <c r="D6" s="2" t="s">
        <v>32</v>
      </c>
      <c r="E6" s="5">
        <v>3500000</v>
      </c>
      <c r="F6" s="5">
        <v>30</v>
      </c>
      <c r="G6" s="5">
        <f t="shared" si="0"/>
        <v>3500000</v>
      </c>
      <c r="H6" s="5"/>
      <c r="I6" s="5">
        <f>(500000/30)*30</f>
        <v>500000.00000000006</v>
      </c>
      <c r="J6" s="5"/>
      <c r="K6" s="5">
        <f t="shared" si="1"/>
        <v>4000000</v>
      </c>
      <c r="L6" s="5">
        <f t="shared" si="2"/>
        <v>140000</v>
      </c>
      <c r="M6" s="5">
        <f t="shared" si="5"/>
        <v>175000</v>
      </c>
      <c r="N6" s="5"/>
      <c r="O6" s="5"/>
      <c r="P6" s="5">
        <v>0</v>
      </c>
      <c r="Q6" s="5"/>
      <c r="R6" s="5"/>
      <c r="S6" s="5"/>
      <c r="T6" s="5">
        <f t="shared" si="3"/>
        <v>315000</v>
      </c>
      <c r="U6" s="6">
        <f>+K6-T6</f>
        <v>3685000</v>
      </c>
      <c r="V6" s="6"/>
      <c r="W6" s="122"/>
      <c r="X6" s="6">
        <f t="shared" si="4"/>
        <v>3685000</v>
      </c>
      <c r="Y6" s="119"/>
    </row>
    <row r="7" spans="1:25" ht="14.25" x14ac:dyDescent="0.2">
      <c r="A7" s="224"/>
      <c r="B7" s="8">
        <v>4</v>
      </c>
      <c r="C7" s="1" t="s">
        <v>36</v>
      </c>
      <c r="D7" s="2" t="s">
        <v>32</v>
      </c>
      <c r="E7" s="5">
        <v>5133000</v>
      </c>
      <c r="F7" s="5">
        <v>30</v>
      </c>
      <c r="G7" s="5">
        <f t="shared" si="0"/>
        <v>5133000</v>
      </c>
      <c r="H7" s="5"/>
      <c r="I7" s="5"/>
      <c r="J7" s="5"/>
      <c r="K7" s="5">
        <f t="shared" si="1"/>
        <v>5133000</v>
      </c>
      <c r="L7" s="5">
        <f t="shared" si="2"/>
        <v>205320</v>
      </c>
      <c r="M7" s="5">
        <f t="shared" si="5"/>
        <v>256650</v>
      </c>
      <c r="N7" s="5"/>
      <c r="O7" s="5"/>
      <c r="P7" s="7">
        <v>111299</v>
      </c>
      <c r="Q7" s="5"/>
      <c r="R7" s="5"/>
      <c r="S7" s="5"/>
      <c r="T7" s="5">
        <f t="shared" si="3"/>
        <v>573269</v>
      </c>
      <c r="U7" s="6">
        <f>+K7-T7</f>
        <v>4559731</v>
      </c>
      <c r="V7" s="6"/>
      <c r="W7" s="122"/>
      <c r="X7" s="6">
        <f t="shared" si="4"/>
        <v>4559731</v>
      </c>
      <c r="Y7" s="119" t="s">
        <v>37</v>
      </c>
    </row>
    <row r="8" spans="1:25" ht="14.25" x14ac:dyDescent="0.2">
      <c r="A8" s="224"/>
      <c r="B8" s="8">
        <v>5</v>
      </c>
      <c r="C8" s="1" t="s">
        <v>38</v>
      </c>
      <c r="D8" s="2" t="s">
        <v>32</v>
      </c>
      <c r="E8" s="5">
        <v>4472600</v>
      </c>
      <c r="F8" s="5">
        <v>30</v>
      </c>
      <c r="G8" s="5">
        <f t="shared" si="0"/>
        <v>4472600</v>
      </c>
      <c r="H8" s="5"/>
      <c r="I8" s="5">
        <v>2012670</v>
      </c>
      <c r="J8" s="5"/>
      <c r="K8" s="5">
        <f t="shared" si="1"/>
        <v>6485270</v>
      </c>
      <c r="L8" s="5">
        <f t="shared" si="2"/>
        <v>178904</v>
      </c>
      <c r="M8" s="5">
        <f t="shared" si="5"/>
        <v>223630</v>
      </c>
      <c r="N8" s="5"/>
      <c r="O8" s="5"/>
      <c r="P8" s="7">
        <v>68437</v>
      </c>
      <c r="Q8" s="5"/>
      <c r="R8" s="5"/>
      <c r="S8" s="5"/>
      <c r="T8" s="5">
        <f t="shared" si="3"/>
        <v>470971</v>
      </c>
      <c r="U8" s="6">
        <f>+K8-T8</f>
        <v>6014299</v>
      </c>
      <c r="V8" s="6"/>
      <c r="W8" s="122"/>
      <c r="X8" s="6">
        <f t="shared" si="4"/>
        <v>6014299</v>
      </c>
      <c r="Y8" s="119" t="s">
        <v>39</v>
      </c>
    </row>
    <row r="9" spans="1:25" ht="14.25" x14ac:dyDescent="0.2">
      <c r="A9" s="224"/>
      <c r="B9" s="8">
        <v>6</v>
      </c>
      <c r="C9" s="1" t="s">
        <v>40</v>
      </c>
      <c r="D9" s="2" t="s">
        <v>32</v>
      </c>
      <c r="E9" s="5">
        <v>4200000</v>
      </c>
      <c r="F9" s="5">
        <v>30</v>
      </c>
      <c r="G9" s="5">
        <f>E9/30*F9</f>
        <v>4200000</v>
      </c>
      <c r="H9" s="5"/>
      <c r="I9" s="5"/>
      <c r="J9" s="5"/>
      <c r="K9" s="5">
        <f t="shared" si="1"/>
        <v>4200000</v>
      </c>
      <c r="L9" s="5">
        <f t="shared" si="2"/>
        <v>168000</v>
      </c>
      <c r="M9" s="5">
        <f t="shared" si="5"/>
        <v>210000</v>
      </c>
      <c r="N9" s="5"/>
      <c r="O9" s="5"/>
      <c r="P9" s="7">
        <v>2545</v>
      </c>
      <c r="Q9" s="5"/>
      <c r="R9" s="5"/>
      <c r="S9" s="5"/>
      <c r="T9" s="5">
        <f t="shared" si="3"/>
        <v>380545</v>
      </c>
      <c r="U9" s="6">
        <f>K9-T9</f>
        <v>3819455</v>
      </c>
      <c r="V9" s="6"/>
      <c r="W9" s="122"/>
      <c r="X9" s="6">
        <f t="shared" si="4"/>
        <v>3819455</v>
      </c>
      <c r="Y9" s="119"/>
    </row>
    <row r="10" spans="1:25" ht="14.25" x14ac:dyDescent="0.2">
      <c r="A10" s="224"/>
      <c r="B10" s="8">
        <v>7</v>
      </c>
      <c r="C10" s="1" t="s">
        <v>41</v>
      </c>
      <c r="D10" s="2" t="s">
        <v>32</v>
      </c>
      <c r="E10" s="5">
        <v>5500000</v>
      </c>
      <c r="F10" s="5">
        <v>30</v>
      </c>
      <c r="G10" s="5">
        <f>E10/30*F10</f>
        <v>5500000</v>
      </c>
      <c r="H10" s="5"/>
      <c r="I10" s="5"/>
      <c r="J10" s="5"/>
      <c r="K10" s="5">
        <f t="shared" si="1"/>
        <v>5500000</v>
      </c>
      <c r="L10" s="5">
        <f t="shared" si="2"/>
        <v>220000</v>
      </c>
      <c r="M10" s="5">
        <f t="shared" si="5"/>
        <v>275000</v>
      </c>
      <c r="N10" s="5"/>
      <c r="O10" s="5"/>
      <c r="P10" s="7">
        <v>234000</v>
      </c>
      <c r="Q10" s="5"/>
      <c r="R10" s="5"/>
      <c r="S10" s="5"/>
      <c r="T10" s="5">
        <f t="shared" si="3"/>
        <v>729000</v>
      </c>
      <c r="U10" s="6">
        <f>K10-T10</f>
        <v>4771000</v>
      </c>
      <c r="V10" s="6"/>
      <c r="W10" s="122"/>
      <c r="X10" s="6">
        <f t="shared" si="4"/>
        <v>4771000</v>
      </c>
      <c r="Y10" s="119"/>
    </row>
    <row r="11" spans="1:25" ht="14.25" x14ac:dyDescent="0.2">
      <c r="A11" s="224"/>
      <c r="B11" s="8">
        <v>8</v>
      </c>
      <c r="C11" s="1" t="s">
        <v>42</v>
      </c>
      <c r="D11" s="2" t="s">
        <v>32</v>
      </c>
      <c r="E11" s="5">
        <v>4815000</v>
      </c>
      <c r="F11" s="5">
        <v>30</v>
      </c>
      <c r="G11" s="5">
        <f>E11/30*F11</f>
        <v>4815000</v>
      </c>
      <c r="H11" s="5"/>
      <c r="I11" s="5"/>
      <c r="J11" s="5"/>
      <c r="K11" s="5">
        <f t="shared" si="1"/>
        <v>4815000</v>
      </c>
      <c r="L11" s="5">
        <f t="shared" si="2"/>
        <v>192600</v>
      </c>
      <c r="M11" s="5">
        <f t="shared" si="5"/>
        <v>240750</v>
      </c>
      <c r="N11" s="5"/>
      <c r="O11" s="5"/>
      <c r="P11" s="5">
        <v>89000</v>
      </c>
      <c r="Q11" s="5"/>
      <c r="R11" s="5"/>
      <c r="S11" s="5"/>
      <c r="T11" s="5">
        <f t="shared" si="3"/>
        <v>522350</v>
      </c>
      <c r="U11" s="6">
        <f>K11-T11</f>
        <v>4292650</v>
      </c>
      <c r="V11" s="6"/>
      <c r="W11" s="122"/>
      <c r="X11" s="6">
        <f>U11+V11-W11</f>
        <v>4292650</v>
      </c>
      <c r="Y11" s="119" t="s">
        <v>43</v>
      </c>
    </row>
    <row r="12" spans="1:25" ht="14.25" x14ac:dyDescent="0.2">
      <c r="A12" s="224"/>
      <c r="B12" s="8">
        <v>9</v>
      </c>
      <c r="C12" s="118" t="s">
        <v>46</v>
      </c>
      <c r="D12" s="3" t="s">
        <v>32</v>
      </c>
      <c r="E12" s="5">
        <v>4000000</v>
      </c>
      <c r="F12" s="5">
        <v>30</v>
      </c>
      <c r="G12" s="5">
        <f>+E12/30*F12</f>
        <v>4000000.0000000005</v>
      </c>
      <c r="H12" s="5"/>
      <c r="I12" s="5"/>
      <c r="J12" s="5"/>
      <c r="K12" s="5">
        <f t="shared" si="1"/>
        <v>4000000.0000000005</v>
      </c>
      <c r="L12" s="5">
        <f t="shared" si="2"/>
        <v>160000.00000000003</v>
      </c>
      <c r="M12" s="5">
        <f t="shared" si="5"/>
        <v>200000.00000000003</v>
      </c>
      <c r="N12" s="5"/>
      <c r="O12" s="5"/>
      <c r="P12" s="5">
        <v>31064</v>
      </c>
      <c r="Q12" s="5"/>
      <c r="R12" s="5"/>
      <c r="S12" s="5"/>
      <c r="T12" s="5">
        <f t="shared" si="3"/>
        <v>391064.00000000006</v>
      </c>
      <c r="U12" s="6">
        <f t="shared" ref="U12:U17" si="6">+K12-T12</f>
        <v>3608936.0000000005</v>
      </c>
      <c r="V12" s="6"/>
      <c r="W12" s="122"/>
      <c r="X12" s="6">
        <f t="shared" ref="X12:X75" si="7">U12+V12-W12</f>
        <v>3608936.0000000005</v>
      </c>
      <c r="Y12" s="119"/>
    </row>
    <row r="13" spans="1:25" ht="14.25" x14ac:dyDescent="0.2">
      <c r="A13" s="224"/>
      <c r="B13" s="8">
        <v>10</v>
      </c>
      <c r="C13" s="118" t="s">
        <v>44</v>
      </c>
      <c r="D13" s="3" t="s">
        <v>32</v>
      </c>
      <c r="E13" s="5">
        <v>5000000</v>
      </c>
      <c r="F13" s="5">
        <v>30</v>
      </c>
      <c r="G13" s="5">
        <f>+E13/30*F13</f>
        <v>5000000</v>
      </c>
      <c r="H13" s="5"/>
      <c r="I13" s="5">
        <v>136000</v>
      </c>
      <c r="J13" s="5"/>
      <c r="K13" s="5">
        <f t="shared" si="1"/>
        <v>5136000</v>
      </c>
      <c r="L13" s="5">
        <f t="shared" si="2"/>
        <v>200000</v>
      </c>
      <c r="M13" s="5">
        <f t="shared" si="5"/>
        <v>250000</v>
      </c>
      <c r="N13" s="5"/>
      <c r="O13" s="5"/>
      <c r="P13" s="5">
        <v>6248</v>
      </c>
      <c r="Q13" s="5"/>
      <c r="R13" s="5"/>
      <c r="S13" s="5"/>
      <c r="T13" s="5">
        <f t="shared" si="3"/>
        <v>456248</v>
      </c>
      <c r="U13" s="6">
        <f t="shared" si="6"/>
        <v>4679752</v>
      </c>
      <c r="V13" s="6"/>
      <c r="W13" s="122"/>
      <c r="X13" s="6">
        <f t="shared" si="7"/>
        <v>4679752</v>
      </c>
      <c r="Y13" s="119" t="s">
        <v>45</v>
      </c>
    </row>
    <row r="14" spans="1:25" ht="14.25" x14ac:dyDescent="0.2">
      <c r="A14" s="224"/>
      <c r="B14" s="8">
        <v>11</v>
      </c>
      <c r="C14" s="9" t="s">
        <v>47</v>
      </c>
      <c r="D14" s="8" t="s">
        <v>32</v>
      </c>
      <c r="E14" s="5">
        <v>3745000</v>
      </c>
      <c r="F14" s="5">
        <v>30</v>
      </c>
      <c r="G14" s="5">
        <f t="shared" ref="G14:G19" si="8">+E14/30*F14</f>
        <v>3745000</v>
      </c>
      <c r="H14" s="5"/>
      <c r="I14" s="5">
        <v>535000</v>
      </c>
      <c r="J14" s="5"/>
      <c r="K14" s="5">
        <f t="shared" si="1"/>
        <v>4280000</v>
      </c>
      <c r="L14" s="5">
        <f t="shared" si="2"/>
        <v>149800</v>
      </c>
      <c r="M14" s="5">
        <f t="shared" si="5"/>
        <v>187250</v>
      </c>
      <c r="N14" s="5"/>
      <c r="O14" s="5"/>
      <c r="P14" s="5">
        <v>0</v>
      </c>
      <c r="Q14" s="5"/>
      <c r="R14" s="5"/>
      <c r="S14" s="5"/>
      <c r="T14" s="5">
        <f t="shared" si="3"/>
        <v>337050</v>
      </c>
      <c r="U14" s="6">
        <f t="shared" si="6"/>
        <v>3942950</v>
      </c>
      <c r="V14" s="6"/>
      <c r="W14" s="122"/>
      <c r="X14" s="6">
        <f t="shared" si="7"/>
        <v>3942950</v>
      </c>
      <c r="Y14" s="119" t="s">
        <v>48</v>
      </c>
    </row>
    <row r="15" spans="1:25" ht="14.25" x14ac:dyDescent="0.2">
      <c r="A15" s="224"/>
      <c r="B15" s="8">
        <v>12</v>
      </c>
      <c r="C15" s="9" t="s">
        <v>172</v>
      </c>
      <c r="D15" s="8" t="s">
        <v>32</v>
      </c>
      <c r="E15" s="5">
        <v>4500000</v>
      </c>
      <c r="F15" s="5">
        <v>30</v>
      </c>
      <c r="G15" s="5">
        <f t="shared" si="8"/>
        <v>4500000</v>
      </c>
      <c r="H15" s="5"/>
      <c r="I15" s="5"/>
      <c r="J15" s="5"/>
      <c r="K15" s="5">
        <f t="shared" si="1"/>
        <v>4500000</v>
      </c>
      <c r="L15" s="5">
        <f t="shared" si="2"/>
        <v>180000</v>
      </c>
      <c r="M15" s="5">
        <f t="shared" si="5"/>
        <v>225000</v>
      </c>
      <c r="N15" s="5"/>
      <c r="O15" s="5"/>
      <c r="P15" s="5">
        <v>98752</v>
      </c>
      <c r="Q15" s="5"/>
      <c r="R15" s="5"/>
      <c r="S15" s="5"/>
      <c r="T15" s="5">
        <f t="shared" si="3"/>
        <v>503752</v>
      </c>
      <c r="U15" s="6">
        <f t="shared" si="6"/>
        <v>3996248</v>
      </c>
      <c r="V15" s="6"/>
      <c r="W15" s="122"/>
      <c r="X15" s="6">
        <f t="shared" si="7"/>
        <v>3996248</v>
      </c>
      <c r="Y15" s="119"/>
    </row>
    <row r="16" spans="1:25" ht="14.25" x14ac:dyDescent="0.2">
      <c r="A16" s="224"/>
      <c r="B16" s="8">
        <v>13</v>
      </c>
      <c r="C16" s="1" t="s">
        <v>49</v>
      </c>
      <c r="D16" s="2" t="s">
        <v>32</v>
      </c>
      <c r="E16" s="5">
        <v>5500000</v>
      </c>
      <c r="F16" s="5">
        <v>30</v>
      </c>
      <c r="G16" s="5">
        <f t="shared" si="8"/>
        <v>5500000</v>
      </c>
      <c r="H16" s="5"/>
      <c r="I16" s="5"/>
      <c r="J16" s="5"/>
      <c r="K16" s="5">
        <f t="shared" si="1"/>
        <v>5500000</v>
      </c>
      <c r="L16" s="5">
        <f t="shared" si="2"/>
        <v>220000</v>
      </c>
      <c r="M16" s="5">
        <f t="shared" si="5"/>
        <v>275000</v>
      </c>
      <c r="N16" s="5"/>
      <c r="O16" s="5"/>
      <c r="P16" s="7">
        <v>150521</v>
      </c>
      <c r="Q16" s="5">
        <v>400000</v>
      </c>
      <c r="R16" s="5"/>
      <c r="S16" s="5"/>
      <c r="T16" s="5">
        <f t="shared" si="3"/>
        <v>1045521</v>
      </c>
      <c r="U16" s="6">
        <f t="shared" si="6"/>
        <v>4454479</v>
      </c>
      <c r="V16" s="6"/>
      <c r="W16" s="122"/>
      <c r="X16" s="6">
        <f t="shared" si="7"/>
        <v>4454479</v>
      </c>
      <c r="Y16" s="119" t="s">
        <v>50</v>
      </c>
    </row>
    <row r="17" spans="1:25" ht="14.25" x14ac:dyDescent="0.2">
      <c r="A17" s="224"/>
      <c r="B17" s="8">
        <v>14</v>
      </c>
      <c r="C17" s="1" t="s">
        <v>51</v>
      </c>
      <c r="D17" s="2" t="s">
        <v>32</v>
      </c>
      <c r="E17" s="5">
        <v>3500000</v>
      </c>
      <c r="F17" s="5">
        <v>30</v>
      </c>
      <c r="G17" s="5">
        <f t="shared" si="8"/>
        <v>3500000</v>
      </c>
      <c r="H17" s="5"/>
      <c r="I17" s="5"/>
      <c r="J17" s="5"/>
      <c r="K17" s="5">
        <f t="shared" si="1"/>
        <v>3500000</v>
      </c>
      <c r="L17" s="5">
        <f t="shared" si="2"/>
        <v>140000</v>
      </c>
      <c r="M17" s="5">
        <f t="shared" si="5"/>
        <v>175000</v>
      </c>
      <c r="N17" s="5"/>
      <c r="O17" s="5"/>
      <c r="P17" s="7"/>
      <c r="Q17" s="5"/>
      <c r="R17" s="5"/>
      <c r="S17" s="5"/>
      <c r="T17" s="5">
        <f t="shared" si="3"/>
        <v>315000</v>
      </c>
      <c r="U17" s="6">
        <f t="shared" si="6"/>
        <v>3185000</v>
      </c>
      <c r="V17" s="6"/>
      <c r="W17" s="122"/>
      <c r="X17" s="6">
        <f t="shared" si="7"/>
        <v>3185000</v>
      </c>
      <c r="Y17" s="119"/>
    </row>
    <row r="18" spans="1:25" ht="14.25" x14ac:dyDescent="0.2">
      <c r="A18" s="224"/>
      <c r="B18" s="8">
        <v>15</v>
      </c>
      <c r="C18" s="1" t="s">
        <v>54</v>
      </c>
      <c r="D18" s="2" t="s">
        <v>32</v>
      </c>
      <c r="E18" s="5">
        <v>5000000</v>
      </c>
      <c r="F18" s="5">
        <v>30</v>
      </c>
      <c r="G18" s="5">
        <f t="shared" ref="G18" si="9">E18/30*F18</f>
        <v>5000000</v>
      </c>
      <c r="H18" s="5"/>
      <c r="I18" s="5">
        <v>900000</v>
      </c>
      <c r="J18" s="5"/>
      <c r="K18" s="5">
        <f t="shared" si="1"/>
        <v>5900000</v>
      </c>
      <c r="L18" s="5">
        <f t="shared" si="2"/>
        <v>200000</v>
      </c>
      <c r="M18" s="5">
        <f t="shared" si="5"/>
        <v>250000</v>
      </c>
      <c r="N18" s="5"/>
      <c r="O18" s="5"/>
      <c r="P18" s="7">
        <v>98752</v>
      </c>
      <c r="Q18" s="5"/>
      <c r="R18" s="5"/>
      <c r="S18" s="5"/>
      <c r="T18" s="5">
        <f t="shared" si="3"/>
        <v>548752</v>
      </c>
      <c r="U18" s="6">
        <f>K18-T18</f>
        <v>5351248</v>
      </c>
      <c r="V18" s="6"/>
      <c r="W18" s="122"/>
      <c r="X18" s="6">
        <f t="shared" si="7"/>
        <v>5351248</v>
      </c>
      <c r="Y18" s="119" t="s">
        <v>55</v>
      </c>
    </row>
    <row r="19" spans="1:25" ht="14.25" x14ac:dyDescent="0.2">
      <c r="A19" s="224"/>
      <c r="B19" s="8">
        <v>16</v>
      </c>
      <c r="C19" s="1" t="s">
        <v>52</v>
      </c>
      <c r="D19" s="2" t="s">
        <v>32</v>
      </c>
      <c r="E19" s="5">
        <v>4500000</v>
      </c>
      <c r="F19" s="5">
        <v>30</v>
      </c>
      <c r="G19" s="5">
        <f t="shared" si="8"/>
        <v>4500000</v>
      </c>
      <c r="H19" s="5"/>
      <c r="I19" s="5">
        <v>300000</v>
      </c>
      <c r="J19" s="5"/>
      <c r="K19" s="5">
        <f t="shared" si="1"/>
        <v>4800000</v>
      </c>
      <c r="L19" s="5">
        <f t="shared" si="2"/>
        <v>180000</v>
      </c>
      <c r="M19" s="5">
        <f t="shared" si="5"/>
        <v>225000</v>
      </c>
      <c r="N19" s="5"/>
      <c r="O19" s="5"/>
      <c r="P19" s="7">
        <v>98752</v>
      </c>
      <c r="Q19" s="5"/>
      <c r="R19" s="5">
        <v>180180</v>
      </c>
      <c r="S19" s="5"/>
      <c r="T19" s="5">
        <f t="shared" si="3"/>
        <v>683932</v>
      </c>
      <c r="U19" s="6">
        <f>+K19-T19</f>
        <v>4116068</v>
      </c>
      <c r="V19" s="6"/>
      <c r="W19" s="122"/>
      <c r="X19" s="6">
        <f t="shared" si="7"/>
        <v>4116068</v>
      </c>
      <c r="Y19" s="119" t="s">
        <v>53</v>
      </c>
    </row>
    <row r="20" spans="1:25" ht="14.25" x14ac:dyDescent="0.2">
      <c r="A20" s="224"/>
      <c r="B20" s="8">
        <v>17</v>
      </c>
      <c r="C20" s="1" t="s">
        <v>56</v>
      </c>
      <c r="D20" s="2" t="s">
        <v>32</v>
      </c>
      <c r="E20" s="5">
        <v>5000000</v>
      </c>
      <c r="F20" s="5">
        <v>30</v>
      </c>
      <c r="G20" s="5">
        <f t="shared" ref="G20:G25" si="10">E20/30*F20</f>
        <v>5000000</v>
      </c>
      <c r="H20" s="5"/>
      <c r="I20" s="5"/>
      <c r="J20" s="5"/>
      <c r="K20" s="5">
        <f t="shared" si="1"/>
        <v>5000000</v>
      </c>
      <c r="L20" s="5">
        <f t="shared" si="2"/>
        <v>200000</v>
      </c>
      <c r="M20" s="5">
        <f t="shared" si="5"/>
        <v>250000</v>
      </c>
      <c r="N20" s="5"/>
      <c r="O20" s="5"/>
      <c r="P20" s="7">
        <v>139833</v>
      </c>
      <c r="Q20" s="5"/>
      <c r="R20" s="5"/>
      <c r="S20" s="5"/>
      <c r="T20" s="5">
        <f t="shared" si="3"/>
        <v>589833</v>
      </c>
      <c r="U20" s="6">
        <f>K20-T20</f>
        <v>4410167</v>
      </c>
      <c r="V20" s="6"/>
      <c r="W20" s="122"/>
      <c r="X20" s="6">
        <f t="shared" si="7"/>
        <v>4410167</v>
      </c>
      <c r="Y20" s="119" t="s">
        <v>57</v>
      </c>
    </row>
    <row r="21" spans="1:25" ht="14.25" x14ac:dyDescent="0.2">
      <c r="A21" s="224"/>
      <c r="B21" s="8">
        <v>18</v>
      </c>
      <c r="C21" s="1" t="s">
        <v>58</v>
      </c>
      <c r="D21" s="2" t="s">
        <v>32</v>
      </c>
      <c r="E21" s="5">
        <v>4000000</v>
      </c>
      <c r="F21" s="5">
        <v>30</v>
      </c>
      <c r="G21" s="5">
        <f t="shared" si="10"/>
        <v>4000000.0000000005</v>
      </c>
      <c r="H21" s="5"/>
      <c r="I21" s="5"/>
      <c r="J21" s="5"/>
      <c r="K21" s="5">
        <f t="shared" si="1"/>
        <v>4000000.0000000005</v>
      </c>
      <c r="L21" s="5">
        <f t="shared" si="2"/>
        <v>160000.00000000003</v>
      </c>
      <c r="M21" s="5">
        <f t="shared" si="5"/>
        <v>200000.00000000003</v>
      </c>
      <c r="N21" s="5"/>
      <c r="O21" s="5"/>
      <c r="P21" s="7">
        <v>31064</v>
      </c>
      <c r="Q21" s="5"/>
      <c r="R21" s="5"/>
      <c r="S21" s="5"/>
      <c r="T21" s="5">
        <f t="shared" si="3"/>
        <v>391064.00000000006</v>
      </c>
      <c r="U21" s="6">
        <f>K21-T21</f>
        <v>3608936.0000000005</v>
      </c>
      <c r="V21" s="6"/>
      <c r="W21" s="122"/>
      <c r="X21" s="6">
        <f t="shared" si="7"/>
        <v>3608936.0000000005</v>
      </c>
      <c r="Y21" s="119"/>
    </row>
    <row r="22" spans="1:25" ht="14.25" x14ac:dyDescent="0.2">
      <c r="A22" s="224"/>
      <c r="B22" s="8">
        <v>19</v>
      </c>
      <c r="C22" s="1" t="s">
        <v>59</v>
      </c>
      <c r="D22" s="2" t="s">
        <v>32</v>
      </c>
      <c r="E22" s="5">
        <v>4472600</v>
      </c>
      <c r="F22" s="5">
        <v>30</v>
      </c>
      <c r="G22" s="5">
        <f t="shared" si="10"/>
        <v>4472600</v>
      </c>
      <c r="H22" s="5"/>
      <c r="I22" s="5">
        <v>1621317</v>
      </c>
      <c r="J22" s="5"/>
      <c r="K22" s="5">
        <f t="shared" si="1"/>
        <v>6093917</v>
      </c>
      <c r="L22" s="5">
        <f t="shared" si="2"/>
        <v>178904</v>
      </c>
      <c r="M22" s="5">
        <f t="shared" si="5"/>
        <v>223630</v>
      </c>
      <c r="N22" s="5"/>
      <c r="O22" s="5"/>
      <c r="P22" s="7">
        <v>11437</v>
      </c>
      <c r="Q22" s="5">
        <v>800000</v>
      </c>
      <c r="R22" s="5"/>
      <c r="S22" s="5">
        <f>884747</f>
        <v>884747</v>
      </c>
      <c r="T22" s="5">
        <f t="shared" si="3"/>
        <v>2098718</v>
      </c>
      <c r="U22" s="6">
        <f>+K22-T22</f>
        <v>3995199</v>
      </c>
      <c r="V22" s="6"/>
      <c r="W22" s="122"/>
      <c r="X22" s="6">
        <f t="shared" si="7"/>
        <v>3995199</v>
      </c>
      <c r="Y22" s="119" t="s">
        <v>60</v>
      </c>
    </row>
    <row r="23" spans="1:25" ht="14.25" x14ac:dyDescent="0.2">
      <c r="A23" s="224"/>
      <c r="B23" s="8">
        <v>20</v>
      </c>
      <c r="C23" s="1" t="s">
        <v>61</v>
      </c>
      <c r="D23" s="2" t="s">
        <v>32</v>
      </c>
      <c r="E23" s="5">
        <v>4000000</v>
      </c>
      <c r="F23" s="5">
        <v>30</v>
      </c>
      <c r="G23" s="5">
        <f t="shared" si="10"/>
        <v>4000000.0000000005</v>
      </c>
      <c r="H23" s="5"/>
      <c r="I23" s="5"/>
      <c r="J23" s="5"/>
      <c r="K23" s="5">
        <f t="shared" si="1"/>
        <v>4000000.0000000005</v>
      </c>
      <c r="L23" s="5">
        <f t="shared" si="2"/>
        <v>160000.00000000003</v>
      </c>
      <c r="M23" s="5">
        <f t="shared" si="5"/>
        <v>200000.00000000003</v>
      </c>
      <c r="N23" s="5"/>
      <c r="O23" s="5"/>
      <c r="P23" s="7">
        <v>31000</v>
      </c>
      <c r="Q23" s="5"/>
      <c r="R23" s="5"/>
      <c r="S23" s="5"/>
      <c r="T23" s="5">
        <f t="shared" si="3"/>
        <v>391000.00000000006</v>
      </c>
      <c r="U23" s="6">
        <f>+K23-T23</f>
        <v>3609000.0000000005</v>
      </c>
      <c r="V23" s="6"/>
      <c r="W23" s="122"/>
      <c r="X23" s="6">
        <f t="shared" si="7"/>
        <v>3609000.0000000005</v>
      </c>
      <c r="Y23" s="119"/>
    </row>
    <row r="24" spans="1:25" ht="14.25" x14ac:dyDescent="0.2">
      <c r="A24" s="224"/>
      <c r="B24" s="8">
        <v>21</v>
      </c>
      <c r="C24" s="1" t="s">
        <v>62</v>
      </c>
      <c r="D24" s="2" t="s">
        <v>32</v>
      </c>
      <c r="E24" s="5">
        <v>5031675</v>
      </c>
      <c r="F24" s="5">
        <v>30</v>
      </c>
      <c r="G24" s="5">
        <f t="shared" si="10"/>
        <v>5031675</v>
      </c>
      <c r="H24" s="5"/>
      <c r="I24" s="5"/>
      <c r="J24" s="5"/>
      <c r="K24" s="5">
        <f t="shared" si="1"/>
        <v>5031675</v>
      </c>
      <c r="L24" s="5">
        <f t="shared" si="2"/>
        <v>201267</v>
      </c>
      <c r="M24" s="5">
        <f t="shared" si="5"/>
        <v>251583.75</v>
      </c>
      <c r="N24" s="5"/>
      <c r="O24" s="5"/>
      <c r="P24" s="7">
        <v>144121</v>
      </c>
      <c r="Q24" s="5"/>
      <c r="R24" s="5"/>
      <c r="S24" s="5"/>
      <c r="T24" s="5">
        <f t="shared" si="3"/>
        <v>596971.75</v>
      </c>
      <c r="U24" s="6">
        <f>K24-T24</f>
        <v>4434703.25</v>
      </c>
      <c r="V24" s="6"/>
      <c r="W24" s="122"/>
      <c r="X24" s="6">
        <f t="shared" si="7"/>
        <v>4434703.25</v>
      </c>
      <c r="Y24" s="119" t="s">
        <v>63</v>
      </c>
    </row>
    <row r="25" spans="1:25" ht="14.25" x14ac:dyDescent="0.2">
      <c r="A25" s="224"/>
      <c r="B25" s="8">
        <v>22</v>
      </c>
      <c r="C25" s="1" t="s">
        <v>64</v>
      </c>
      <c r="D25" s="2" t="s">
        <v>32</v>
      </c>
      <c r="E25" s="5">
        <v>4500000</v>
      </c>
      <c r="F25" s="5">
        <v>30</v>
      </c>
      <c r="G25" s="5">
        <f t="shared" si="10"/>
        <v>4500000</v>
      </c>
      <c r="H25" s="5"/>
      <c r="I25" s="5">
        <f>+(300000/30)*F25</f>
        <v>300000</v>
      </c>
      <c r="J25" s="5"/>
      <c r="K25" s="5">
        <f t="shared" si="1"/>
        <v>4800000</v>
      </c>
      <c r="L25" s="5">
        <f t="shared" si="2"/>
        <v>180000</v>
      </c>
      <c r="M25" s="5">
        <f t="shared" si="5"/>
        <v>225000</v>
      </c>
      <c r="N25" s="5"/>
      <c r="O25" s="5"/>
      <c r="P25" s="7">
        <v>99000</v>
      </c>
      <c r="Q25" s="5"/>
      <c r="R25" s="5"/>
      <c r="S25" s="5"/>
      <c r="T25" s="5">
        <f t="shared" si="3"/>
        <v>504000</v>
      </c>
      <c r="U25" s="6">
        <f>K25-T25</f>
        <v>4296000</v>
      </c>
      <c r="V25" s="6"/>
      <c r="W25" s="122"/>
      <c r="X25" s="6">
        <f t="shared" si="7"/>
        <v>4296000</v>
      </c>
      <c r="Y25" s="119"/>
    </row>
    <row r="26" spans="1:25" ht="14.25" x14ac:dyDescent="0.25">
      <c r="A26" s="224"/>
      <c r="B26" s="8">
        <v>23</v>
      </c>
      <c r="C26" s="118" t="s">
        <v>65</v>
      </c>
      <c r="D26" s="3" t="s">
        <v>32</v>
      </c>
      <c r="E26" s="5">
        <v>4500000</v>
      </c>
      <c r="F26" s="5">
        <v>30</v>
      </c>
      <c r="G26" s="5">
        <f t="shared" ref="G26:G49" si="11">+E26/30*F26</f>
        <v>4500000</v>
      </c>
      <c r="H26" s="5"/>
      <c r="I26" s="5"/>
      <c r="J26" s="5"/>
      <c r="K26" s="5">
        <f t="shared" si="1"/>
        <v>4500000</v>
      </c>
      <c r="L26" s="5">
        <f t="shared" si="2"/>
        <v>180000</v>
      </c>
      <c r="M26" s="5">
        <f t="shared" si="5"/>
        <v>225000</v>
      </c>
      <c r="N26" s="5"/>
      <c r="O26" s="5"/>
      <c r="P26" s="7">
        <v>72146</v>
      </c>
      <c r="Q26" s="5"/>
      <c r="R26" s="5"/>
      <c r="S26" s="5"/>
      <c r="T26" s="5">
        <f t="shared" si="3"/>
        <v>477146</v>
      </c>
      <c r="U26" s="6">
        <f>K26-T26</f>
        <v>4022854</v>
      </c>
      <c r="V26" s="6"/>
      <c r="W26" s="122"/>
      <c r="X26" s="6">
        <f t="shared" si="7"/>
        <v>4022854</v>
      </c>
      <c r="Y26" s="125" t="s">
        <v>66</v>
      </c>
    </row>
    <row r="27" spans="1:25" ht="14.25" x14ac:dyDescent="0.2">
      <c r="A27" s="224"/>
      <c r="B27" s="8">
        <v>24</v>
      </c>
      <c r="C27" s="1" t="s">
        <v>67</v>
      </c>
      <c r="D27" s="2" t="s">
        <v>32</v>
      </c>
      <c r="E27" s="5">
        <v>4000000</v>
      </c>
      <c r="F27" s="5">
        <v>30</v>
      </c>
      <c r="G27" s="5">
        <f>E27/30*F27</f>
        <v>4000000.0000000005</v>
      </c>
      <c r="H27" s="5"/>
      <c r="I27" s="5"/>
      <c r="J27" s="5"/>
      <c r="K27" s="5">
        <f t="shared" si="1"/>
        <v>4000000.0000000005</v>
      </c>
      <c r="L27" s="5">
        <f t="shared" si="2"/>
        <v>160000.00000000003</v>
      </c>
      <c r="M27" s="5">
        <f t="shared" si="5"/>
        <v>200000.00000000003</v>
      </c>
      <c r="N27" s="5"/>
      <c r="O27" s="5"/>
      <c r="P27" s="7">
        <v>31064</v>
      </c>
      <c r="Q27" s="5"/>
      <c r="R27" s="5"/>
      <c r="S27" s="5"/>
      <c r="T27" s="5">
        <f t="shared" si="3"/>
        <v>391064.00000000006</v>
      </c>
      <c r="U27" s="6">
        <f>K27-T27</f>
        <v>3608936.0000000005</v>
      </c>
      <c r="V27" s="6"/>
      <c r="W27" s="122"/>
      <c r="X27" s="6">
        <f t="shared" si="7"/>
        <v>3608936.0000000005</v>
      </c>
      <c r="Y27" s="119"/>
    </row>
    <row r="28" spans="1:25" ht="14.25" x14ac:dyDescent="0.2">
      <c r="A28" s="224"/>
      <c r="B28" s="8">
        <v>25</v>
      </c>
      <c r="C28" s="1" t="s">
        <v>69</v>
      </c>
      <c r="D28" s="2" t="s">
        <v>32</v>
      </c>
      <c r="E28" s="5">
        <v>5136000</v>
      </c>
      <c r="F28" s="5">
        <v>30</v>
      </c>
      <c r="G28" s="5">
        <f t="shared" si="11"/>
        <v>5136000</v>
      </c>
      <c r="H28" s="5"/>
      <c r="I28" s="5"/>
      <c r="J28" s="5"/>
      <c r="K28" s="5">
        <f t="shared" si="1"/>
        <v>5136000</v>
      </c>
      <c r="L28" s="5">
        <f t="shared" si="2"/>
        <v>205440</v>
      </c>
      <c r="M28" s="5">
        <f t="shared" si="5"/>
        <v>256800</v>
      </c>
      <c r="N28" s="5"/>
      <c r="O28" s="5"/>
      <c r="P28" s="5">
        <v>131000</v>
      </c>
      <c r="Q28" s="5"/>
      <c r="R28" s="5">
        <v>122614</v>
      </c>
      <c r="S28" s="5"/>
      <c r="T28" s="5">
        <f t="shared" si="3"/>
        <v>715854</v>
      </c>
      <c r="U28" s="6">
        <f t="shared" ref="U28:U33" si="12">+K28-T28</f>
        <v>4420146</v>
      </c>
      <c r="V28" s="6"/>
      <c r="W28" s="122"/>
      <c r="X28" s="6">
        <f t="shared" si="7"/>
        <v>4420146</v>
      </c>
      <c r="Y28" s="119" t="s">
        <v>70</v>
      </c>
    </row>
    <row r="29" spans="1:25" ht="14.25" x14ac:dyDescent="0.2">
      <c r="A29" s="224"/>
      <c r="B29" s="8">
        <v>26</v>
      </c>
      <c r="C29" s="1" t="s">
        <v>71</v>
      </c>
      <c r="D29" s="2" t="s">
        <v>32</v>
      </c>
      <c r="E29" s="5">
        <v>4500000</v>
      </c>
      <c r="F29" s="5">
        <v>30</v>
      </c>
      <c r="G29" s="5">
        <f t="shared" si="11"/>
        <v>4500000</v>
      </c>
      <c r="H29" s="5"/>
      <c r="I29" s="5"/>
      <c r="J29" s="5"/>
      <c r="K29" s="5">
        <f t="shared" si="1"/>
        <v>4500000</v>
      </c>
      <c r="L29" s="5">
        <f t="shared" si="2"/>
        <v>180000</v>
      </c>
      <c r="M29" s="5">
        <f t="shared" si="5"/>
        <v>225000</v>
      </c>
      <c r="N29" s="5"/>
      <c r="O29" s="5"/>
      <c r="P29" s="5">
        <v>99000</v>
      </c>
      <c r="Q29" s="5"/>
      <c r="R29" s="5"/>
      <c r="S29" s="5"/>
      <c r="T29" s="5">
        <f t="shared" si="3"/>
        <v>504000</v>
      </c>
      <c r="U29" s="6">
        <f t="shared" si="12"/>
        <v>3996000</v>
      </c>
      <c r="V29" s="6"/>
      <c r="W29" s="122"/>
      <c r="X29" s="6">
        <f t="shared" si="7"/>
        <v>3996000</v>
      </c>
      <c r="Y29" s="119"/>
    </row>
    <row r="30" spans="1:25" ht="14.25" x14ac:dyDescent="0.2">
      <c r="A30" s="224"/>
      <c r="B30" s="8">
        <v>27</v>
      </c>
      <c r="C30" s="1" t="s">
        <v>72</v>
      </c>
      <c r="D30" s="2" t="s">
        <v>32</v>
      </c>
      <c r="E30" s="5">
        <v>4023250</v>
      </c>
      <c r="F30" s="5">
        <v>30</v>
      </c>
      <c r="G30" s="5">
        <f t="shared" si="11"/>
        <v>4023250.0000000005</v>
      </c>
      <c r="H30" s="5"/>
      <c r="I30" s="5"/>
      <c r="J30" s="5"/>
      <c r="K30" s="5">
        <f t="shared" si="1"/>
        <v>4023250.0000000005</v>
      </c>
      <c r="L30" s="5">
        <f t="shared" si="2"/>
        <v>160930.00000000003</v>
      </c>
      <c r="M30" s="5">
        <f t="shared" si="5"/>
        <v>201162.50000000003</v>
      </c>
      <c r="N30" s="5"/>
      <c r="O30" s="5"/>
      <c r="P30" s="5">
        <v>2545</v>
      </c>
      <c r="Q30" s="5"/>
      <c r="R30" s="5"/>
      <c r="S30" s="5"/>
      <c r="T30" s="5">
        <f t="shared" si="3"/>
        <v>364637.50000000006</v>
      </c>
      <c r="U30" s="6">
        <f t="shared" si="12"/>
        <v>3658612.5000000005</v>
      </c>
      <c r="V30" s="6"/>
      <c r="W30" s="122"/>
      <c r="X30" s="6">
        <f t="shared" si="7"/>
        <v>3658612.5000000005</v>
      </c>
      <c r="Y30" s="119" t="s">
        <v>73</v>
      </c>
    </row>
    <row r="31" spans="1:25" ht="14.25" x14ac:dyDescent="0.2">
      <c r="A31" s="224"/>
      <c r="B31" s="8">
        <v>28</v>
      </c>
      <c r="C31" s="1" t="s">
        <v>74</v>
      </c>
      <c r="D31" s="2" t="s">
        <v>32</v>
      </c>
      <c r="E31" s="5">
        <v>6912675</v>
      </c>
      <c r="F31" s="5">
        <v>30</v>
      </c>
      <c r="G31" s="5">
        <f t="shared" si="11"/>
        <v>6912675</v>
      </c>
      <c r="H31" s="5"/>
      <c r="I31" s="5"/>
      <c r="J31" s="5"/>
      <c r="K31" s="5">
        <f t="shared" si="1"/>
        <v>6912675</v>
      </c>
      <c r="L31" s="5">
        <f t="shared" si="2"/>
        <v>276507</v>
      </c>
      <c r="M31" s="5">
        <f t="shared" si="5"/>
        <v>345633.75</v>
      </c>
      <c r="N31" s="5"/>
      <c r="O31" s="5"/>
      <c r="P31" s="7">
        <v>143706</v>
      </c>
      <c r="Q31" s="5">
        <v>400000</v>
      </c>
      <c r="R31" s="5"/>
      <c r="S31" s="5"/>
      <c r="T31" s="5">
        <f t="shared" si="3"/>
        <v>1165846.75</v>
      </c>
      <c r="U31" s="6">
        <f t="shared" si="12"/>
        <v>5746828.25</v>
      </c>
      <c r="V31" s="6"/>
      <c r="W31" s="122"/>
      <c r="X31" s="6">
        <f t="shared" si="7"/>
        <v>5746828.25</v>
      </c>
      <c r="Y31" s="119" t="s">
        <v>75</v>
      </c>
    </row>
    <row r="32" spans="1:25" ht="14.25" x14ac:dyDescent="0.2">
      <c r="A32" s="224"/>
      <c r="B32" s="8">
        <v>29</v>
      </c>
      <c r="C32" s="1" t="s">
        <v>76</v>
      </c>
      <c r="D32" s="2" t="s">
        <v>32</v>
      </c>
      <c r="E32" s="5">
        <v>4000000</v>
      </c>
      <c r="F32" s="5">
        <v>30</v>
      </c>
      <c r="G32" s="5">
        <f t="shared" si="11"/>
        <v>4000000.0000000005</v>
      </c>
      <c r="H32" s="5"/>
      <c r="I32" s="5">
        <v>500000</v>
      </c>
      <c r="J32" s="5"/>
      <c r="K32" s="5">
        <f t="shared" si="1"/>
        <v>4500000</v>
      </c>
      <c r="L32" s="5">
        <f t="shared" si="2"/>
        <v>160000.00000000003</v>
      </c>
      <c r="M32" s="5">
        <f t="shared" si="5"/>
        <v>200000.00000000003</v>
      </c>
      <c r="N32" s="5"/>
      <c r="O32" s="5"/>
      <c r="P32" s="5">
        <v>4458</v>
      </c>
      <c r="Q32" s="5"/>
      <c r="R32" s="5">
        <v>1020000</v>
      </c>
      <c r="S32" s="5">
        <v>551399</v>
      </c>
      <c r="T32" s="5">
        <f t="shared" si="3"/>
        <v>1935857</v>
      </c>
      <c r="U32" s="6">
        <f t="shared" si="12"/>
        <v>2564143</v>
      </c>
      <c r="V32" s="6"/>
      <c r="W32" s="122"/>
      <c r="X32" s="6">
        <f t="shared" si="7"/>
        <v>2564143</v>
      </c>
      <c r="Y32" s="119" t="s">
        <v>77</v>
      </c>
    </row>
    <row r="33" spans="1:25" ht="12" x14ac:dyDescent="0.25">
      <c r="A33" s="224"/>
      <c r="B33" s="8">
        <v>30</v>
      </c>
      <c r="C33" s="1" t="s">
        <v>91</v>
      </c>
      <c r="D33" s="2" t="s">
        <v>32</v>
      </c>
      <c r="E33" s="5">
        <v>4500000</v>
      </c>
      <c r="F33" s="5">
        <v>30</v>
      </c>
      <c r="G33" s="5">
        <f t="shared" si="11"/>
        <v>4500000</v>
      </c>
      <c r="H33" s="5"/>
      <c r="I33" s="5"/>
      <c r="J33" s="5"/>
      <c r="K33" s="5">
        <f t="shared" si="1"/>
        <v>4500000</v>
      </c>
      <c r="L33" s="5">
        <f t="shared" si="2"/>
        <v>180000</v>
      </c>
      <c r="M33" s="5">
        <f t="shared" si="5"/>
        <v>225000</v>
      </c>
      <c r="N33" s="5"/>
      <c r="O33" s="5"/>
      <c r="P33" s="5">
        <v>34627</v>
      </c>
      <c r="Q33" s="5"/>
      <c r="R33" s="5"/>
      <c r="S33" s="5"/>
      <c r="T33" s="5">
        <f t="shared" si="3"/>
        <v>439627</v>
      </c>
      <c r="U33" s="6">
        <f t="shared" si="12"/>
        <v>4060373</v>
      </c>
      <c r="V33" s="6"/>
      <c r="W33" s="122"/>
      <c r="X33" s="6">
        <f t="shared" si="7"/>
        <v>4060373</v>
      </c>
      <c r="Y33" s="61" t="s">
        <v>79</v>
      </c>
    </row>
    <row r="34" spans="1:25" ht="14.25" x14ac:dyDescent="0.2">
      <c r="A34" s="224"/>
      <c r="B34" s="8">
        <v>31</v>
      </c>
      <c r="C34" s="9" t="s">
        <v>80</v>
      </c>
      <c r="D34" s="8" t="s">
        <v>32</v>
      </c>
      <c r="E34" s="5">
        <v>4500000</v>
      </c>
      <c r="F34" s="5">
        <v>30</v>
      </c>
      <c r="G34" s="5">
        <f t="shared" si="11"/>
        <v>4500000</v>
      </c>
      <c r="H34" s="5"/>
      <c r="I34" s="5"/>
      <c r="J34" s="5"/>
      <c r="K34" s="5">
        <f t="shared" si="1"/>
        <v>4500000</v>
      </c>
      <c r="L34" s="5">
        <f t="shared" si="2"/>
        <v>180000</v>
      </c>
      <c r="M34" s="5">
        <f t="shared" si="5"/>
        <v>225000</v>
      </c>
      <c r="N34" s="5"/>
      <c r="O34" s="5"/>
      <c r="P34" s="5">
        <v>34627</v>
      </c>
      <c r="Q34" s="5"/>
      <c r="R34" s="5"/>
      <c r="S34" s="5"/>
      <c r="T34" s="5">
        <f t="shared" si="3"/>
        <v>439627</v>
      </c>
      <c r="U34" s="6">
        <f>K34-T34</f>
        <v>4060373</v>
      </c>
      <c r="V34" s="6"/>
      <c r="W34" s="122"/>
      <c r="X34" s="6">
        <f t="shared" si="7"/>
        <v>4060373</v>
      </c>
      <c r="Y34" s="119" t="s">
        <v>81</v>
      </c>
    </row>
    <row r="35" spans="1:25" ht="14.25" x14ac:dyDescent="0.2">
      <c r="A35" s="224"/>
      <c r="B35" s="8">
        <v>32</v>
      </c>
      <c r="C35" s="11" t="s">
        <v>84</v>
      </c>
      <c r="D35" s="10" t="s">
        <v>32</v>
      </c>
      <c r="E35" s="5">
        <v>4500000</v>
      </c>
      <c r="F35" s="5">
        <v>30</v>
      </c>
      <c r="G35" s="5">
        <f t="shared" si="11"/>
        <v>4500000</v>
      </c>
      <c r="H35" s="5"/>
      <c r="I35" s="5"/>
      <c r="J35" s="5"/>
      <c r="K35" s="5">
        <f t="shared" si="1"/>
        <v>4500000</v>
      </c>
      <c r="L35" s="5">
        <f t="shared" si="2"/>
        <v>180000</v>
      </c>
      <c r="M35" s="5">
        <f t="shared" si="5"/>
        <v>225000</v>
      </c>
      <c r="N35" s="5"/>
      <c r="O35" s="5"/>
      <c r="P35" s="5">
        <v>99000</v>
      </c>
      <c r="Q35" s="5"/>
      <c r="R35" s="5"/>
      <c r="S35" s="5"/>
      <c r="T35" s="5">
        <f t="shared" si="3"/>
        <v>504000</v>
      </c>
      <c r="U35" s="6">
        <f>K35-T35</f>
        <v>3996000</v>
      </c>
      <c r="V35" s="6"/>
      <c r="W35" s="122"/>
      <c r="X35" s="6">
        <f t="shared" si="7"/>
        <v>3996000</v>
      </c>
      <c r="Y35" s="119"/>
    </row>
    <row r="36" spans="1:25" ht="14.25" x14ac:dyDescent="0.2">
      <c r="A36" s="224"/>
      <c r="B36" s="8">
        <v>33</v>
      </c>
      <c r="C36" s="1" t="s">
        <v>85</v>
      </c>
      <c r="D36" s="2" t="s">
        <v>32</v>
      </c>
      <c r="E36" s="5">
        <v>5500000</v>
      </c>
      <c r="F36" s="5">
        <v>30</v>
      </c>
      <c r="G36" s="5">
        <f>+E36/30*F36</f>
        <v>5500000</v>
      </c>
      <c r="H36" s="5"/>
      <c r="I36" s="5"/>
      <c r="J36" s="5"/>
      <c r="K36" s="5">
        <f t="shared" ref="K36:K87" si="13">SUM(G36:I36)+J36</f>
        <v>5500000</v>
      </c>
      <c r="L36" s="5">
        <f t="shared" si="2"/>
        <v>220000</v>
      </c>
      <c r="M36" s="5">
        <f t="shared" si="5"/>
        <v>275000</v>
      </c>
      <c r="N36" s="5"/>
      <c r="O36" s="5"/>
      <c r="P36" s="5">
        <v>129146</v>
      </c>
      <c r="Q36" s="5"/>
      <c r="R36" s="5"/>
      <c r="S36" s="5"/>
      <c r="T36" s="5">
        <f t="shared" si="3"/>
        <v>624146</v>
      </c>
      <c r="U36" s="6">
        <f>+K36-T36</f>
        <v>4875854</v>
      </c>
      <c r="V36" s="6"/>
      <c r="W36" s="122"/>
      <c r="X36" s="6">
        <f t="shared" si="7"/>
        <v>4875854</v>
      </c>
      <c r="Y36" s="119" t="s">
        <v>86</v>
      </c>
    </row>
    <row r="37" spans="1:25" ht="14.25" x14ac:dyDescent="0.2">
      <c r="A37" s="224"/>
      <c r="B37" s="8">
        <v>34</v>
      </c>
      <c r="C37" s="11" t="s">
        <v>82</v>
      </c>
      <c r="D37" s="10" t="s">
        <v>32</v>
      </c>
      <c r="E37" s="5">
        <v>5350000</v>
      </c>
      <c r="F37" s="5">
        <v>30</v>
      </c>
      <c r="G37" s="5">
        <f t="shared" si="11"/>
        <v>5350000</v>
      </c>
      <c r="H37" s="5"/>
      <c r="I37" s="5">
        <v>428000</v>
      </c>
      <c r="J37" s="5"/>
      <c r="K37" s="5">
        <f t="shared" si="13"/>
        <v>5778000</v>
      </c>
      <c r="L37" s="5">
        <f t="shared" si="2"/>
        <v>214000</v>
      </c>
      <c r="M37" s="5">
        <f t="shared" si="5"/>
        <v>267500</v>
      </c>
      <c r="N37" s="5"/>
      <c r="O37" s="5"/>
      <c r="P37" s="5">
        <v>187215</v>
      </c>
      <c r="Q37" s="5"/>
      <c r="R37" s="5"/>
      <c r="S37" s="5"/>
      <c r="T37" s="5">
        <f t="shared" si="3"/>
        <v>668715</v>
      </c>
      <c r="U37" s="6">
        <f>K37-T37</f>
        <v>5109285</v>
      </c>
      <c r="V37" s="6"/>
      <c r="W37" s="122"/>
      <c r="X37" s="6">
        <f t="shared" si="7"/>
        <v>5109285</v>
      </c>
      <c r="Y37" s="119" t="s">
        <v>83</v>
      </c>
    </row>
    <row r="38" spans="1:25" ht="14.25" x14ac:dyDescent="0.2">
      <c r="A38" s="224"/>
      <c r="B38" s="8">
        <v>35</v>
      </c>
      <c r="C38" s="118" t="s">
        <v>92</v>
      </c>
      <c r="D38" s="3" t="s">
        <v>32</v>
      </c>
      <c r="E38" s="5">
        <v>5000000</v>
      </c>
      <c r="F38" s="5">
        <v>30</v>
      </c>
      <c r="G38" s="5">
        <f t="shared" si="11"/>
        <v>5000000</v>
      </c>
      <c r="H38" s="5"/>
      <c r="I38" s="5"/>
      <c r="J38" s="5"/>
      <c r="K38" s="5">
        <f t="shared" si="13"/>
        <v>5000000</v>
      </c>
      <c r="L38" s="5">
        <f t="shared" si="2"/>
        <v>200000</v>
      </c>
      <c r="M38" s="5">
        <f t="shared" si="5"/>
        <v>250000</v>
      </c>
      <c r="N38" s="5"/>
      <c r="O38" s="5"/>
      <c r="P38" s="5">
        <v>139833</v>
      </c>
      <c r="Q38" s="5"/>
      <c r="R38" s="5"/>
      <c r="S38" s="5"/>
      <c r="T38" s="5">
        <f t="shared" si="3"/>
        <v>589833</v>
      </c>
      <c r="U38" s="6">
        <f>+K38-T38</f>
        <v>4410167</v>
      </c>
      <c r="V38" s="6"/>
      <c r="W38" s="122"/>
      <c r="X38" s="6">
        <f t="shared" si="7"/>
        <v>4410167</v>
      </c>
      <c r="Y38" s="119" t="s">
        <v>93</v>
      </c>
    </row>
    <row r="39" spans="1:25" ht="12" x14ac:dyDescent="0.25">
      <c r="A39" s="224"/>
      <c r="B39" s="8">
        <v>36</v>
      </c>
      <c r="C39" s="1" t="s">
        <v>78</v>
      </c>
      <c r="D39" s="2" t="s">
        <v>32</v>
      </c>
      <c r="E39" s="5">
        <v>4000000</v>
      </c>
      <c r="F39" s="5">
        <v>30</v>
      </c>
      <c r="G39" s="5">
        <f t="shared" si="11"/>
        <v>4000000.0000000005</v>
      </c>
      <c r="H39" s="5"/>
      <c r="I39" s="5"/>
      <c r="J39" s="5"/>
      <c r="K39" s="5">
        <f t="shared" si="13"/>
        <v>4000000.0000000005</v>
      </c>
      <c r="L39" s="5">
        <f t="shared" si="2"/>
        <v>160000.00000000003</v>
      </c>
      <c r="M39" s="5">
        <f t="shared" si="5"/>
        <v>200000.00000000003</v>
      </c>
      <c r="N39" s="5"/>
      <c r="O39" s="5"/>
      <c r="P39" s="5">
        <v>0</v>
      </c>
      <c r="Q39" s="5"/>
      <c r="R39" s="5"/>
      <c r="S39" s="5"/>
      <c r="T39" s="5">
        <f t="shared" si="3"/>
        <v>360000.00000000006</v>
      </c>
      <c r="U39" s="6">
        <f>+K39-T39</f>
        <v>3640000.0000000005</v>
      </c>
      <c r="V39" s="6"/>
      <c r="W39" s="122"/>
      <c r="X39" s="6">
        <f t="shared" si="7"/>
        <v>3640000.0000000005</v>
      </c>
      <c r="Y39" s="61" t="s">
        <v>79</v>
      </c>
    </row>
    <row r="40" spans="1:25" ht="26.25" customHeight="1" x14ac:dyDescent="0.25">
      <c r="A40" s="224"/>
      <c r="B40" s="8">
        <v>37</v>
      </c>
      <c r="C40" s="1" t="s">
        <v>87</v>
      </c>
      <c r="D40" s="2" t="s">
        <v>32</v>
      </c>
      <c r="E40" s="5">
        <v>4500000</v>
      </c>
      <c r="F40" s="5">
        <v>30</v>
      </c>
      <c r="G40" s="5">
        <f t="shared" si="11"/>
        <v>4500000</v>
      </c>
      <c r="H40" s="5"/>
      <c r="I40" s="5"/>
      <c r="J40" s="5"/>
      <c r="K40" s="5">
        <f t="shared" si="13"/>
        <v>4500000</v>
      </c>
      <c r="L40" s="5">
        <f t="shared" si="2"/>
        <v>180000</v>
      </c>
      <c r="M40" s="5">
        <f t="shared" si="5"/>
        <v>225000</v>
      </c>
      <c r="N40" s="5"/>
      <c r="O40" s="5"/>
      <c r="P40" s="5">
        <v>99000</v>
      </c>
      <c r="Q40" s="5"/>
      <c r="R40" s="5"/>
      <c r="S40" s="5"/>
      <c r="T40" s="5">
        <f t="shared" si="3"/>
        <v>504000</v>
      </c>
      <c r="U40" s="6">
        <f>+K40-T40</f>
        <v>3996000</v>
      </c>
      <c r="V40" s="6"/>
      <c r="W40" s="122"/>
      <c r="X40" s="6">
        <f t="shared" si="7"/>
        <v>3996000</v>
      </c>
      <c r="Y40" s="61" t="s">
        <v>79</v>
      </c>
    </row>
    <row r="41" spans="1:25" ht="12" x14ac:dyDescent="0.25">
      <c r="A41" s="224"/>
      <c r="B41" s="8">
        <v>38</v>
      </c>
      <c r="C41" s="1" t="s">
        <v>89</v>
      </c>
      <c r="D41" s="2" t="s">
        <v>32</v>
      </c>
      <c r="E41" s="5">
        <v>2500000</v>
      </c>
      <c r="F41" s="5">
        <v>30</v>
      </c>
      <c r="G41" s="5">
        <f t="shared" si="11"/>
        <v>2500000</v>
      </c>
      <c r="H41" s="5"/>
      <c r="I41" s="5"/>
      <c r="J41" s="5"/>
      <c r="K41" s="5">
        <f t="shared" si="13"/>
        <v>2500000</v>
      </c>
      <c r="L41" s="5">
        <f t="shared" si="2"/>
        <v>100000</v>
      </c>
      <c r="M41" s="5">
        <f t="shared" ref="M41:M46" si="14">+G41*4%</f>
        <v>100000</v>
      </c>
      <c r="N41" s="5"/>
      <c r="O41" s="5"/>
      <c r="P41" s="5"/>
      <c r="Q41" s="5"/>
      <c r="R41" s="5"/>
      <c r="S41" s="5"/>
      <c r="T41" s="5">
        <f t="shared" si="3"/>
        <v>200000</v>
      </c>
      <c r="U41" s="6">
        <f>+K41-T41</f>
        <v>2300000</v>
      </c>
      <c r="V41" s="6"/>
      <c r="W41" s="122"/>
      <c r="X41" s="6">
        <f t="shared" si="7"/>
        <v>2300000</v>
      </c>
      <c r="Y41" s="61" t="s">
        <v>79</v>
      </c>
    </row>
    <row r="42" spans="1:25" ht="12" x14ac:dyDescent="0.25">
      <c r="A42" s="224"/>
      <c r="B42" s="8">
        <v>39</v>
      </c>
      <c r="C42" s="1" t="s">
        <v>90</v>
      </c>
      <c r="D42" s="2" t="s">
        <v>32</v>
      </c>
      <c r="E42" s="5">
        <v>4500000</v>
      </c>
      <c r="F42" s="5">
        <v>30</v>
      </c>
      <c r="G42" s="5">
        <f t="shared" si="11"/>
        <v>4500000</v>
      </c>
      <c r="H42" s="5"/>
      <c r="I42" s="5">
        <v>300000</v>
      </c>
      <c r="J42" s="5"/>
      <c r="K42" s="5">
        <f t="shared" si="13"/>
        <v>4800000</v>
      </c>
      <c r="L42" s="5">
        <f t="shared" si="2"/>
        <v>180000</v>
      </c>
      <c r="M42" s="5">
        <f t="shared" si="5"/>
        <v>225000</v>
      </c>
      <c r="N42" s="5"/>
      <c r="O42" s="5"/>
      <c r="P42" s="5">
        <v>8021</v>
      </c>
      <c r="Q42" s="5"/>
      <c r="R42" s="5"/>
      <c r="S42" s="5">
        <v>1010000</v>
      </c>
      <c r="T42" s="5">
        <f t="shared" si="3"/>
        <v>1423021</v>
      </c>
      <c r="U42" s="6">
        <f>+K42-T42</f>
        <v>3376979</v>
      </c>
      <c r="V42" s="6"/>
      <c r="W42" s="122"/>
      <c r="X42" s="6">
        <f t="shared" si="7"/>
        <v>3376979</v>
      </c>
      <c r="Y42" s="61" t="s">
        <v>79</v>
      </c>
    </row>
    <row r="43" spans="1:25" ht="30.75" customHeight="1" x14ac:dyDescent="0.25">
      <c r="A43" s="224"/>
      <c r="B43" s="8">
        <v>40</v>
      </c>
      <c r="C43" s="1" t="s">
        <v>94</v>
      </c>
      <c r="D43" s="2" t="s">
        <v>32</v>
      </c>
      <c r="E43" s="5">
        <v>4815000</v>
      </c>
      <c r="F43" s="5">
        <v>30</v>
      </c>
      <c r="G43" s="5">
        <f t="shared" si="11"/>
        <v>4815000</v>
      </c>
      <c r="H43" s="5"/>
      <c r="I43" s="5">
        <v>350000</v>
      </c>
      <c r="J43" s="5"/>
      <c r="K43" s="5">
        <f t="shared" si="13"/>
        <v>5165000</v>
      </c>
      <c r="L43" s="5">
        <f t="shared" si="2"/>
        <v>192600</v>
      </c>
      <c r="M43" s="5">
        <f>+G43*5%</f>
        <v>240750</v>
      </c>
      <c r="N43" s="5"/>
      <c r="O43" s="5"/>
      <c r="P43" s="5">
        <v>89000</v>
      </c>
      <c r="Q43" s="5"/>
      <c r="R43" s="5"/>
      <c r="S43" s="5"/>
      <c r="T43" s="5">
        <f t="shared" si="3"/>
        <v>522350</v>
      </c>
      <c r="U43" s="6">
        <f>K43-T43</f>
        <v>4642650</v>
      </c>
      <c r="V43" s="6"/>
      <c r="W43" s="122"/>
      <c r="X43" s="6">
        <f t="shared" si="7"/>
        <v>4642650</v>
      </c>
      <c r="Y43" s="19" t="s">
        <v>95</v>
      </c>
    </row>
    <row r="44" spans="1:25" ht="14.25" x14ac:dyDescent="0.2">
      <c r="A44" s="224"/>
      <c r="B44" s="8">
        <v>41</v>
      </c>
      <c r="C44" s="1" t="s">
        <v>96</v>
      </c>
      <c r="D44" s="2" t="s">
        <v>32</v>
      </c>
      <c r="E44" s="5">
        <v>6900000</v>
      </c>
      <c r="F44" s="5">
        <v>30</v>
      </c>
      <c r="G44" s="5">
        <f t="shared" si="11"/>
        <v>6900000</v>
      </c>
      <c r="H44" s="5"/>
      <c r="I44" s="5"/>
      <c r="J44" s="5"/>
      <c r="K44" s="5">
        <f t="shared" si="13"/>
        <v>6900000</v>
      </c>
      <c r="L44" s="5">
        <f t="shared" si="2"/>
        <v>276000</v>
      </c>
      <c r="M44" s="5">
        <f t="shared" si="5"/>
        <v>345000</v>
      </c>
      <c r="N44" s="5"/>
      <c r="O44" s="5"/>
      <c r="P44" s="5">
        <v>88069</v>
      </c>
      <c r="Q44" s="5">
        <v>1500000</v>
      </c>
      <c r="R44" s="5"/>
      <c r="S44" s="5"/>
      <c r="T44" s="5">
        <f t="shared" si="3"/>
        <v>2209069</v>
      </c>
      <c r="U44" s="6">
        <f>K44-T44</f>
        <v>4690931</v>
      </c>
      <c r="V44" s="6"/>
      <c r="W44" s="122"/>
      <c r="X44" s="6">
        <f t="shared" si="7"/>
        <v>4690931</v>
      </c>
      <c r="Y44" s="119" t="s">
        <v>97</v>
      </c>
    </row>
    <row r="45" spans="1:25" ht="14.25" x14ac:dyDescent="0.2">
      <c r="A45" s="225"/>
      <c r="B45" s="8">
        <v>42</v>
      </c>
      <c r="C45" s="1" t="s">
        <v>98</v>
      </c>
      <c r="D45" s="2" t="s">
        <v>32</v>
      </c>
      <c r="E45" s="5">
        <v>4000000</v>
      </c>
      <c r="F45" s="5">
        <v>30</v>
      </c>
      <c r="G45" s="5">
        <f t="shared" si="11"/>
        <v>4000000.0000000005</v>
      </c>
      <c r="H45" s="5"/>
      <c r="I45" s="5"/>
      <c r="J45" s="5"/>
      <c r="K45" s="5">
        <f t="shared" si="13"/>
        <v>4000000.0000000005</v>
      </c>
      <c r="L45" s="5">
        <f t="shared" si="2"/>
        <v>160000.00000000003</v>
      </c>
      <c r="M45" s="5">
        <f t="shared" si="5"/>
        <v>200000.00000000003</v>
      </c>
      <c r="N45" s="5"/>
      <c r="O45" s="5"/>
      <c r="P45" s="5">
        <v>31000</v>
      </c>
      <c r="Q45" s="5"/>
      <c r="R45" s="5"/>
      <c r="S45" s="5"/>
      <c r="T45" s="5">
        <f t="shared" si="3"/>
        <v>391000.00000000006</v>
      </c>
      <c r="U45" s="6">
        <f>K45-T45</f>
        <v>3609000.0000000005</v>
      </c>
      <c r="V45" s="6"/>
      <c r="W45" s="122"/>
      <c r="X45" s="6">
        <f t="shared" si="7"/>
        <v>3609000.0000000005</v>
      </c>
      <c r="Y45" s="119"/>
    </row>
    <row r="46" spans="1:25" ht="14.25" x14ac:dyDescent="0.2">
      <c r="A46" s="226" t="s">
        <v>99</v>
      </c>
      <c r="B46" s="8">
        <v>43</v>
      </c>
      <c r="C46" s="1" t="s">
        <v>100</v>
      </c>
      <c r="D46" s="2" t="s">
        <v>32</v>
      </c>
      <c r="E46" s="5">
        <v>2000000</v>
      </c>
      <c r="F46" s="5">
        <v>30</v>
      </c>
      <c r="G46" s="5">
        <f t="shared" si="11"/>
        <v>2000000.0000000002</v>
      </c>
      <c r="H46" s="5"/>
      <c r="I46" s="5">
        <v>500000</v>
      </c>
      <c r="J46" s="5"/>
      <c r="K46" s="5">
        <f t="shared" si="13"/>
        <v>2500000</v>
      </c>
      <c r="L46" s="5">
        <f t="shared" si="2"/>
        <v>80000.000000000015</v>
      </c>
      <c r="M46" s="5">
        <f t="shared" si="14"/>
        <v>80000.000000000015</v>
      </c>
      <c r="N46" s="5"/>
      <c r="O46" s="5"/>
      <c r="P46" s="7">
        <v>0</v>
      </c>
      <c r="Q46" s="5"/>
      <c r="R46" s="5">
        <v>163485</v>
      </c>
      <c r="S46" s="5">
        <v>152804</v>
      </c>
      <c r="T46" s="5">
        <f t="shared" si="3"/>
        <v>476289</v>
      </c>
      <c r="U46" s="6">
        <f t="shared" ref="U46:U52" si="15">+K46-T46</f>
        <v>2023711</v>
      </c>
      <c r="V46" s="6"/>
      <c r="W46" s="122"/>
      <c r="X46" s="6">
        <f t="shared" si="7"/>
        <v>2023711</v>
      </c>
      <c r="Y46" s="119" t="s">
        <v>101</v>
      </c>
    </row>
    <row r="47" spans="1:25" ht="18" customHeight="1" x14ac:dyDescent="0.2">
      <c r="A47" s="226"/>
      <c r="B47" s="8">
        <v>44</v>
      </c>
      <c r="C47" s="1" t="s">
        <v>103</v>
      </c>
      <c r="D47" s="2" t="s">
        <v>32</v>
      </c>
      <c r="E47" s="5">
        <v>344727</v>
      </c>
      <c r="F47" s="5">
        <v>30</v>
      </c>
      <c r="G47" s="5">
        <f t="shared" si="11"/>
        <v>344727</v>
      </c>
      <c r="H47" s="5"/>
      <c r="I47" s="5"/>
      <c r="J47" s="5"/>
      <c r="K47" s="5">
        <f t="shared" si="13"/>
        <v>344727</v>
      </c>
      <c r="L47" s="5"/>
      <c r="M47" s="5"/>
      <c r="N47" s="5"/>
      <c r="O47" s="5"/>
      <c r="P47" s="7"/>
      <c r="Q47" s="5"/>
      <c r="R47" s="5"/>
      <c r="S47" s="5"/>
      <c r="T47" s="5">
        <f t="shared" si="3"/>
        <v>0</v>
      </c>
      <c r="U47" s="6">
        <f t="shared" si="15"/>
        <v>344727</v>
      </c>
      <c r="V47" s="6"/>
      <c r="W47" s="122"/>
      <c r="X47" s="6">
        <f t="shared" si="7"/>
        <v>344727</v>
      </c>
      <c r="Y47" s="119"/>
    </row>
    <row r="48" spans="1:25" ht="18" customHeight="1" x14ac:dyDescent="0.2">
      <c r="A48" s="226"/>
      <c r="B48" s="8">
        <v>45</v>
      </c>
      <c r="C48" s="1" t="s">
        <v>102</v>
      </c>
      <c r="D48" s="2" t="s">
        <v>32</v>
      </c>
      <c r="E48" s="5">
        <v>689455</v>
      </c>
      <c r="F48" s="5">
        <v>30</v>
      </c>
      <c r="G48" s="5">
        <f t="shared" si="11"/>
        <v>689455</v>
      </c>
      <c r="H48" s="5"/>
      <c r="I48" s="5"/>
      <c r="J48" s="5"/>
      <c r="K48" s="5">
        <f t="shared" si="13"/>
        <v>689455</v>
      </c>
      <c r="L48" s="5"/>
      <c r="M48" s="5"/>
      <c r="N48" s="5"/>
      <c r="O48" s="5"/>
      <c r="P48" s="7"/>
      <c r="Q48" s="5"/>
      <c r="R48" s="5"/>
      <c r="S48" s="5"/>
      <c r="T48" s="5"/>
      <c r="U48" s="6">
        <f t="shared" si="15"/>
        <v>689455</v>
      </c>
      <c r="V48" s="6"/>
      <c r="W48" s="122"/>
      <c r="X48" s="6">
        <f t="shared" si="7"/>
        <v>689455</v>
      </c>
      <c r="Y48" s="119"/>
    </row>
    <row r="49" spans="1:28" ht="14.25" x14ac:dyDescent="0.2">
      <c r="A49" s="226"/>
      <c r="B49" s="8">
        <v>46</v>
      </c>
      <c r="C49" s="1" t="s">
        <v>104</v>
      </c>
      <c r="D49" s="2" t="s">
        <v>105</v>
      </c>
      <c r="E49" s="5">
        <v>800000</v>
      </c>
      <c r="F49" s="5">
        <v>30</v>
      </c>
      <c r="G49" s="5">
        <f t="shared" si="11"/>
        <v>800000</v>
      </c>
      <c r="H49" s="5">
        <v>77700</v>
      </c>
      <c r="I49" s="5"/>
      <c r="J49" s="5"/>
      <c r="K49" s="5">
        <f t="shared" si="13"/>
        <v>877700</v>
      </c>
      <c r="L49" s="5">
        <f t="shared" ref="L49:L54" si="16">+G49*4%</f>
        <v>32000</v>
      </c>
      <c r="M49" s="5">
        <f t="shared" ref="M49:M54" si="17">+G49*4%</f>
        <v>32000</v>
      </c>
      <c r="N49" s="5"/>
      <c r="O49" s="5"/>
      <c r="P49" s="7"/>
      <c r="Q49" s="5"/>
      <c r="R49" s="5"/>
      <c r="S49" s="5"/>
      <c r="T49" s="5">
        <f t="shared" ref="T49:T87" si="18">SUM(L49:S49)</f>
        <v>64000</v>
      </c>
      <c r="U49" s="6">
        <f t="shared" si="15"/>
        <v>813700</v>
      </c>
      <c r="V49" s="6"/>
      <c r="W49" s="122"/>
      <c r="X49" s="6">
        <f t="shared" si="7"/>
        <v>813700</v>
      </c>
      <c r="Y49" s="119"/>
    </row>
    <row r="50" spans="1:28" ht="21.75" customHeight="1" x14ac:dyDescent="0.2">
      <c r="A50" s="226"/>
      <c r="B50" s="8">
        <v>47</v>
      </c>
      <c r="C50" s="1" t="s">
        <v>106</v>
      </c>
      <c r="D50" s="2" t="s">
        <v>32</v>
      </c>
      <c r="E50" s="5">
        <v>1100000</v>
      </c>
      <c r="F50" s="5">
        <v>30</v>
      </c>
      <c r="G50" s="5">
        <f>E50/30*F50</f>
        <v>1100000</v>
      </c>
      <c r="H50" s="5">
        <v>77700</v>
      </c>
      <c r="I50" s="5"/>
      <c r="J50" s="5"/>
      <c r="K50" s="5">
        <f t="shared" si="13"/>
        <v>1177700</v>
      </c>
      <c r="L50" s="5">
        <f t="shared" si="16"/>
        <v>44000</v>
      </c>
      <c r="M50" s="5">
        <f t="shared" si="17"/>
        <v>44000</v>
      </c>
      <c r="N50" s="5"/>
      <c r="O50" s="5"/>
      <c r="P50" s="5">
        <v>0</v>
      </c>
      <c r="Q50" s="5"/>
      <c r="R50" s="5"/>
      <c r="S50" s="5"/>
      <c r="T50" s="5">
        <f t="shared" si="18"/>
        <v>88000</v>
      </c>
      <c r="U50" s="6">
        <f t="shared" si="15"/>
        <v>1089700</v>
      </c>
      <c r="V50" s="6"/>
      <c r="W50" s="122"/>
      <c r="X50" s="6">
        <f t="shared" si="7"/>
        <v>1089700</v>
      </c>
      <c r="Y50" s="119"/>
    </row>
    <row r="51" spans="1:28" ht="17.25" customHeight="1" x14ac:dyDescent="0.2">
      <c r="A51" s="226"/>
      <c r="B51" s="8">
        <v>48</v>
      </c>
      <c r="C51" s="1" t="s">
        <v>107</v>
      </c>
      <c r="D51" s="2" t="s">
        <v>32</v>
      </c>
      <c r="E51" s="5">
        <v>1200000</v>
      </c>
      <c r="F51" s="5">
        <v>30</v>
      </c>
      <c r="G51" s="5">
        <f>(E51/30*F51)</f>
        <v>1200000</v>
      </c>
      <c r="H51" s="5">
        <v>77700</v>
      </c>
      <c r="I51" s="5"/>
      <c r="J51" s="5"/>
      <c r="K51" s="5">
        <f t="shared" si="13"/>
        <v>1277700</v>
      </c>
      <c r="L51" s="5">
        <f t="shared" si="16"/>
        <v>48000</v>
      </c>
      <c r="M51" s="5">
        <f t="shared" si="17"/>
        <v>48000</v>
      </c>
      <c r="N51" s="5"/>
      <c r="O51" s="5"/>
      <c r="P51" s="5">
        <v>0</v>
      </c>
      <c r="Q51" s="5"/>
      <c r="R51" s="5"/>
      <c r="S51" s="5"/>
      <c r="T51" s="5">
        <f t="shared" si="18"/>
        <v>96000</v>
      </c>
      <c r="U51" s="6">
        <f t="shared" si="15"/>
        <v>1181700</v>
      </c>
      <c r="V51" s="6"/>
      <c r="W51" s="122"/>
      <c r="X51" s="6">
        <f t="shared" si="7"/>
        <v>1181700</v>
      </c>
      <c r="Y51" s="119" t="s">
        <v>108</v>
      </c>
    </row>
    <row r="52" spans="1:28" ht="14.25" x14ac:dyDescent="0.2">
      <c r="A52" s="226"/>
      <c r="B52" s="8">
        <v>49</v>
      </c>
      <c r="C52" s="1" t="s">
        <v>109</v>
      </c>
      <c r="D52" s="2" t="s">
        <v>32</v>
      </c>
      <c r="E52" s="5">
        <v>900000</v>
      </c>
      <c r="F52" s="5">
        <v>30</v>
      </c>
      <c r="G52" s="5">
        <f>E52/30*F52</f>
        <v>900000</v>
      </c>
      <c r="H52" s="5">
        <v>77700</v>
      </c>
      <c r="I52" s="5"/>
      <c r="J52" s="5"/>
      <c r="K52" s="5">
        <f t="shared" si="13"/>
        <v>977700</v>
      </c>
      <c r="L52" s="5">
        <f t="shared" si="16"/>
        <v>36000</v>
      </c>
      <c r="M52" s="5">
        <f t="shared" si="17"/>
        <v>36000</v>
      </c>
      <c r="N52" s="5"/>
      <c r="O52" s="5"/>
      <c r="P52" s="5">
        <v>0</v>
      </c>
      <c r="Q52" s="5"/>
      <c r="R52" s="5"/>
      <c r="S52" s="5"/>
      <c r="T52" s="5">
        <f t="shared" si="18"/>
        <v>72000</v>
      </c>
      <c r="U52" s="6">
        <f t="shared" si="15"/>
        <v>905700</v>
      </c>
      <c r="V52" s="6"/>
      <c r="W52" s="122"/>
      <c r="X52" s="6">
        <f t="shared" si="7"/>
        <v>905700</v>
      </c>
      <c r="Y52" s="119" t="s">
        <v>110</v>
      </c>
    </row>
    <row r="53" spans="1:28" ht="14.25" x14ac:dyDescent="0.2">
      <c r="A53" s="226"/>
      <c r="B53" s="8">
        <v>50</v>
      </c>
      <c r="C53" s="9" t="s">
        <v>111</v>
      </c>
      <c r="D53" s="8" t="s">
        <v>32</v>
      </c>
      <c r="E53" s="5">
        <v>2500000</v>
      </c>
      <c r="F53" s="5">
        <v>24</v>
      </c>
      <c r="G53" s="5">
        <f>+E53/30*F53+333348</f>
        <v>2333348</v>
      </c>
      <c r="H53" s="5"/>
      <c r="I53" s="5"/>
      <c r="J53" s="5"/>
      <c r="K53" s="5">
        <f t="shared" si="13"/>
        <v>2333348</v>
      </c>
      <c r="L53" s="5">
        <f t="shared" si="16"/>
        <v>93333.92</v>
      </c>
      <c r="M53" s="5">
        <f t="shared" si="17"/>
        <v>93333.92</v>
      </c>
      <c r="N53" s="5"/>
      <c r="O53" s="5"/>
      <c r="P53" s="5">
        <v>0</v>
      </c>
      <c r="Q53" s="5"/>
      <c r="R53" s="5"/>
      <c r="S53" s="5"/>
      <c r="T53" s="5">
        <f t="shared" si="18"/>
        <v>186667.84</v>
      </c>
      <c r="U53" s="6">
        <f t="shared" ref="U53:U58" si="19">K53-T53</f>
        <v>2146680.16</v>
      </c>
      <c r="V53" s="6"/>
      <c r="W53" s="122"/>
      <c r="X53" s="6">
        <f t="shared" si="7"/>
        <v>2146680.16</v>
      </c>
      <c r="Y53" s="119" t="s">
        <v>112</v>
      </c>
    </row>
    <row r="54" spans="1:28" ht="14.25" x14ac:dyDescent="0.2">
      <c r="A54" s="226"/>
      <c r="B54" s="8">
        <v>51</v>
      </c>
      <c r="C54" s="1" t="s">
        <v>113</v>
      </c>
      <c r="D54" s="2" t="s">
        <v>32</v>
      </c>
      <c r="E54" s="5">
        <v>2500000</v>
      </c>
      <c r="F54" s="5">
        <v>30</v>
      </c>
      <c r="G54" s="5">
        <f t="shared" ref="G54:G55" si="20">+E54/30*F54</f>
        <v>2500000</v>
      </c>
      <c r="H54" s="5"/>
      <c r="I54" s="5">
        <v>500000</v>
      </c>
      <c r="J54" s="5"/>
      <c r="K54" s="5">
        <f t="shared" si="13"/>
        <v>3000000</v>
      </c>
      <c r="L54" s="5">
        <f t="shared" si="16"/>
        <v>100000</v>
      </c>
      <c r="M54" s="5">
        <f t="shared" si="17"/>
        <v>100000</v>
      </c>
      <c r="N54" s="5"/>
      <c r="O54" s="5"/>
      <c r="P54" s="5">
        <v>0</v>
      </c>
      <c r="Q54" s="5"/>
      <c r="R54" s="5"/>
      <c r="S54" s="5">
        <v>766228</v>
      </c>
      <c r="T54" s="5">
        <f t="shared" si="18"/>
        <v>966228</v>
      </c>
      <c r="U54" s="6">
        <f t="shared" si="19"/>
        <v>2033772</v>
      </c>
      <c r="V54" s="6"/>
      <c r="W54" s="122"/>
      <c r="X54" s="6">
        <f t="shared" si="7"/>
        <v>2033772</v>
      </c>
      <c r="Y54" s="119" t="s">
        <v>114</v>
      </c>
    </row>
    <row r="55" spans="1:28" ht="14.25" x14ac:dyDescent="0.2">
      <c r="A55" s="226"/>
      <c r="B55" s="8">
        <v>52</v>
      </c>
      <c r="C55" s="1" t="s">
        <v>115</v>
      </c>
      <c r="D55" s="2" t="s">
        <v>32</v>
      </c>
      <c r="E55" s="5">
        <v>344727</v>
      </c>
      <c r="F55" s="5">
        <v>30</v>
      </c>
      <c r="G55" s="5">
        <f t="shared" si="20"/>
        <v>344727</v>
      </c>
      <c r="H55" s="5"/>
      <c r="I55" s="5"/>
      <c r="J55" s="5"/>
      <c r="K55" s="5">
        <f t="shared" si="13"/>
        <v>344727</v>
      </c>
      <c r="L55" s="5"/>
      <c r="M55" s="5"/>
      <c r="N55" s="5"/>
      <c r="O55" s="5"/>
      <c r="P55" s="5"/>
      <c r="Q55" s="5"/>
      <c r="R55" s="5"/>
      <c r="S55" s="5"/>
      <c r="T55" s="5">
        <f t="shared" si="18"/>
        <v>0</v>
      </c>
      <c r="U55" s="6">
        <f t="shared" si="19"/>
        <v>344727</v>
      </c>
      <c r="V55" s="6"/>
      <c r="W55" s="122"/>
      <c r="X55" s="6">
        <f t="shared" si="7"/>
        <v>344727</v>
      </c>
      <c r="Y55" s="119"/>
    </row>
    <row r="56" spans="1:28" ht="17.25" customHeight="1" x14ac:dyDescent="0.25">
      <c r="A56" s="226"/>
      <c r="B56" s="8">
        <v>53</v>
      </c>
      <c r="C56" s="1" t="s">
        <v>116</v>
      </c>
      <c r="D56" s="2" t="s">
        <v>32</v>
      </c>
      <c r="E56" s="5">
        <v>2000000</v>
      </c>
      <c r="F56" s="5">
        <v>30</v>
      </c>
      <c r="G56" s="5">
        <f>E56/30*F56</f>
        <v>2000000.0000000002</v>
      </c>
      <c r="H56" s="5"/>
      <c r="I56" s="5"/>
      <c r="J56" s="5"/>
      <c r="K56" s="5">
        <f t="shared" si="13"/>
        <v>2000000.0000000002</v>
      </c>
      <c r="L56" s="5">
        <f>+G56*4%</f>
        <v>80000.000000000015</v>
      </c>
      <c r="M56" s="5">
        <f>+G56*4%</f>
        <v>80000.000000000015</v>
      </c>
      <c r="N56" s="5"/>
      <c r="O56" s="5"/>
      <c r="P56" s="5">
        <v>0</v>
      </c>
      <c r="Q56" s="5"/>
      <c r="R56" s="5"/>
      <c r="S56" s="5"/>
      <c r="T56" s="5">
        <f t="shared" si="18"/>
        <v>160000.00000000003</v>
      </c>
      <c r="U56" s="6">
        <f t="shared" si="19"/>
        <v>1840000.0000000002</v>
      </c>
      <c r="V56" s="6"/>
      <c r="W56" s="122"/>
      <c r="X56" s="6">
        <f t="shared" si="7"/>
        <v>1840000.0000000002</v>
      </c>
      <c r="Y56" s="126" t="s">
        <v>117</v>
      </c>
    </row>
    <row r="57" spans="1:28" ht="15.75" customHeight="1" x14ac:dyDescent="0.2">
      <c r="A57" s="226"/>
      <c r="B57" s="8">
        <v>54</v>
      </c>
      <c r="C57" s="1" t="s">
        <v>118</v>
      </c>
      <c r="D57" s="2" t="s">
        <v>32</v>
      </c>
      <c r="E57" s="5">
        <v>1300000</v>
      </c>
      <c r="F57" s="5">
        <v>30</v>
      </c>
      <c r="G57" s="5">
        <f>(E57/30*F57)</f>
        <v>1300000</v>
      </c>
      <c r="H57" s="5">
        <v>77700</v>
      </c>
      <c r="I57" s="5"/>
      <c r="J57" s="5"/>
      <c r="K57" s="5">
        <f t="shared" si="13"/>
        <v>1377700</v>
      </c>
      <c r="L57" s="5">
        <f>+G57*4%</f>
        <v>52000</v>
      </c>
      <c r="M57" s="5">
        <f>+G57*4%</f>
        <v>52000</v>
      </c>
      <c r="N57" s="5"/>
      <c r="O57" s="5"/>
      <c r="P57" s="5">
        <v>0</v>
      </c>
      <c r="Q57" s="5"/>
      <c r="R57" s="5"/>
      <c r="S57" s="5"/>
      <c r="T57" s="5">
        <f t="shared" si="18"/>
        <v>104000</v>
      </c>
      <c r="U57" s="6">
        <f t="shared" si="19"/>
        <v>1273700</v>
      </c>
      <c r="V57" s="6"/>
      <c r="W57" s="122"/>
      <c r="X57" s="6">
        <f t="shared" si="7"/>
        <v>1273700</v>
      </c>
      <c r="Y57" s="119" t="s">
        <v>119</v>
      </c>
      <c r="AB57" s="123">
        <f>1196000+644000</f>
        <v>1840000</v>
      </c>
    </row>
    <row r="58" spans="1:28" ht="14.25" x14ac:dyDescent="0.25">
      <c r="A58" s="226"/>
      <c r="B58" s="8">
        <v>55</v>
      </c>
      <c r="C58" s="9" t="s">
        <v>120</v>
      </c>
      <c r="D58" s="8" t="s">
        <v>32</v>
      </c>
      <c r="E58" s="5">
        <v>344727</v>
      </c>
      <c r="F58" s="5">
        <v>30</v>
      </c>
      <c r="G58" s="5">
        <f>+E58/30*F58</f>
        <v>344727</v>
      </c>
      <c r="H58" s="5"/>
      <c r="I58" s="5"/>
      <c r="J58" s="5"/>
      <c r="K58" s="5">
        <f t="shared" si="13"/>
        <v>344727</v>
      </c>
      <c r="L58" s="5"/>
      <c r="M58" s="5"/>
      <c r="N58" s="5"/>
      <c r="O58" s="5"/>
      <c r="P58" s="5"/>
      <c r="Q58" s="5"/>
      <c r="R58" s="5"/>
      <c r="S58" s="5"/>
      <c r="T58" s="5">
        <f t="shared" si="18"/>
        <v>0</v>
      </c>
      <c r="U58" s="6">
        <f t="shared" si="19"/>
        <v>344727</v>
      </c>
      <c r="V58" s="6"/>
      <c r="W58" s="122"/>
      <c r="X58" s="6">
        <f t="shared" si="7"/>
        <v>344727</v>
      </c>
      <c r="Y58" s="125"/>
      <c r="AB58" s="123">
        <f>1840000-1196000</f>
        <v>644000</v>
      </c>
    </row>
    <row r="59" spans="1:28" ht="14.25" x14ac:dyDescent="0.2">
      <c r="A59" s="226"/>
      <c r="B59" s="8">
        <v>56</v>
      </c>
      <c r="C59" s="1" t="s">
        <v>121</v>
      </c>
      <c r="D59" s="2" t="s">
        <v>105</v>
      </c>
      <c r="E59" s="5">
        <v>800000</v>
      </c>
      <c r="F59" s="5">
        <v>30</v>
      </c>
      <c r="G59" s="5">
        <f t="shared" ref="G59" si="21">+E59/30*F59</f>
        <v>800000</v>
      </c>
      <c r="H59" s="5">
        <v>77700</v>
      </c>
      <c r="I59" s="5"/>
      <c r="J59" s="5"/>
      <c r="K59" s="5">
        <f t="shared" si="13"/>
        <v>877700</v>
      </c>
      <c r="L59" s="5">
        <f t="shared" ref="L59:L84" si="22">+G59*4%</f>
        <v>32000</v>
      </c>
      <c r="M59" s="5">
        <f t="shared" ref="M59:M84" si="23">+G59*4%</f>
        <v>32000</v>
      </c>
      <c r="N59" s="5"/>
      <c r="O59" s="5"/>
      <c r="P59" s="7"/>
      <c r="Q59" s="5"/>
      <c r="R59" s="5"/>
      <c r="S59" s="5"/>
      <c r="T59" s="5">
        <f t="shared" si="18"/>
        <v>64000</v>
      </c>
      <c r="U59" s="6">
        <f>+K59-T59</f>
        <v>813700</v>
      </c>
      <c r="V59" s="6"/>
      <c r="W59" s="122"/>
      <c r="X59" s="6">
        <f t="shared" si="7"/>
        <v>813700</v>
      </c>
      <c r="Y59" s="119"/>
    </row>
    <row r="60" spans="1:28" ht="14.25" x14ac:dyDescent="0.2">
      <c r="A60" s="226"/>
      <c r="B60" s="8">
        <v>57</v>
      </c>
      <c r="C60" s="9" t="s">
        <v>122</v>
      </c>
      <c r="D60" s="8" t="s">
        <v>32</v>
      </c>
      <c r="E60" s="5">
        <v>1500000</v>
      </c>
      <c r="F60" s="5">
        <v>30</v>
      </c>
      <c r="G60" s="5">
        <f>+E60/30*F60</f>
        <v>1500000</v>
      </c>
      <c r="H60" s="5"/>
      <c r="I60" s="5">
        <v>500000</v>
      </c>
      <c r="J60" s="5"/>
      <c r="K60" s="5">
        <f t="shared" si="13"/>
        <v>2000000</v>
      </c>
      <c r="L60" s="5">
        <f t="shared" si="22"/>
        <v>60000</v>
      </c>
      <c r="M60" s="5">
        <f t="shared" si="23"/>
        <v>60000</v>
      </c>
      <c r="N60" s="5"/>
      <c r="O60" s="5"/>
      <c r="P60" s="5">
        <v>0</v>
      </c>
      <c r="Q60" s="5"/>
      <c r="R60" s="5"/>
      <c r="S60" s="5"/>
      <c r="T60" s="5">
        <f t="shared" si="18"/>
        <v>120000</v>
      </c>
      <c r="U60" s="6">
        <f>K60-T60</f>
        <v>1880000</v>
      </c>
      <c r="V60" s="6"/>
      <c r="W60" s="122"/>
      <c r="X60" s="6">
        <f>U60+V60-W60</f>
        <v>1880000</v>
      </c>
      <c r="Y60" s="119" t="s">
        <v>123</v>
      </c>
    </row>
    <row r="61" spans="1:28" ht="20.25" customHeight="1" x14ac:dyDescent="0.25">
      <c r="A61" s="226"/>
      <c r="B61" s="8">
        <v>58</v>
      </c>
      <c r="C61" s="1" t="s">
        <v>126</v>
      </c>
      <c r="D61" s="2" t="s">
        <v>32</v>
      </c>
      <c r="E61" s="5">
        <v>3000000</v>
      </c>
      <c r="F61" s="5">
        <v>30</v>
      </c>
      <c r="G61" s="5">
        <f t="shared" ref="G61" si="24">+E61/30*F61</f>
        <v>3000000</v>
      </c>
      <c r="H61" s="5"/>
      <c r="I61" s="5"/>
      <c r="J61" s="5"/>
      <c r="K61" s="5">
        <f t="shared" si="13"/>
        <v>3000000</v>
      </c>
      <c r="L61" s="5">
        <f t="shared" si="22"/>
        <v>120000</v>
      </c>
      <c r="M61" s="5">
        <f>+G61*5%</f>
        <v>150000</v>
      </c>
      <c r="N61" s="5"/>
      <c r="O61" s="5"/>
      <c r="P61" s="5">
        <v>0</v>
      </c>
      <c r="Q61" s="5"/>
      <c r="R61" s="5"/>
      <c r="S61" s="5">
        <v>802634</v>
      </c>
      <c r="T61" s="5">
        <f t="shared" si="18"/>
        <v>1072634</v>
      </c>
      <c r="U61" s="6">
        <f t="shared" ref="U61:U68" si="25">+K61-T61</f>
        <v>1927366</v>
      </c>
      <c r="V61" s="6"/>
      <c r="W61" s="122"/>
      <c r="X61" s="6">
        <f t="shared" ref="X61" si="26">U61+V61-W61</f>
        <v>1927366</v>
      </c>
      <c r="Y61" s="126" t="s">
        <v>127</v>
      </c>
    </row>
    <row r="62" spans="1:28" ht="18" customHeight="1" x14ac:dyDescent="0.25">
      <c r="A62" s="226"/>
      <c r="B62" s="8">
        <v>59</v>
      </c>
      <c r="C62" s="1" t="s">
        <v>124</v>
      </c>
      <c r="D62" s="2" t="s">
        <v>32</v>
      </c>
      <c r="E62" s="5">
        <v>1500000</v>
      </c>
      <c r="F62" s="5">
        <v>30</v>
      </c>
      <c r="G62" s="5">
        <f>+E62/30*F62</f>
        <v>1500000</v>
      </c>
      <c r="H62" s="5"/>
      <c r="I62" s="5">
        <v>100000</v>
      </c>
      <c r="J62" s="5"/>
      <c r="K62" s="5">
        <f t="shared" si="13"/>
        <v>1600000</v>
      </c>
      <c r="L62" s="5">
        <f t="shared" si="22"/>
        <v>60000</v>
      </c>
      <c r="M62" s="5">
        <f t="shared" si="23"/>
        <v>60000</v>
      </c>
      <c r="N62" s="5"/>
      <c r="O62" s="5"/>
      <c r="P62" s="5">
        <v>0</v>
      </c>
      <c r="Q62" s="5"/>
      <c r="R62" s="5"/>
      <c r="S62" s="5"/>
      <c r="T62" s="5">
        <f t="shared" si="18"/>
        <v>120000</v>
      </c>
      <c r="U62" s="6">
        <f t="shared" si="25"/>
        <v>1480000</v>
      </c>
      <c r="V62" s="6"/>
      <c r="W62" s="122"/>
      <c r="X62" s="6">
        <f t="shared" si="7"/>
        <v>1480000</v>
      </c>
      <c r="Y62" s="127" t="s">
        <v>125</v>
      </c>
    </row>
    <row r="63" spans="1:28" ht="14.25" x14ac:dyDescent="0.2">
      <c r="A63" s="226"/>
      <c r="B63" s="8">
        <v>60</v>
      </c>
      <c r="C63" s="1" t="s">
        <v>128</v>
      </c>
      <c r="D63" s="2" t="s">
        <v>32</v>
      </c>
      <c r="E63" s="5">
        <v>3250000</v>
      </c>
      <c r="F63" s="5">
        <v>30</v>
      </c>
      <c r="G63" s="5">
        <f t="shared" ref="G63:G71" si="27">+E63/30*F63</f>
        <v>3250000</v>
      </c>
      <c r="H63" s="5"/>
      <c r="I63" s="5"/>
      <c r="J63" s="5"/>
      <c r="K63" s="5">
        <f t="shared" si="13"/>
        <v>3250000</v>
      </c>
      <c r="L63" s="5">
        <f t="shared" si="22"/>
        <v>130000</v>
      </c>
      <c r="M63" s="5">
        <f>+G63*5%</f>
        <v>162500</v>
      </c>
      <c r="N63" s="5"/>
      <c r="O63" s="5"/>
      <c r="P63" s="5">
        <v>0</v>
      </c>
      <c r="Q63" s="5"/>
      <c r="R63" s="5"/>
      <c r="S63" s="5"/>
      <c r="T63" s="5">
        <f t="shared" si="18"/>
        <v>292500</v>
      </c>
      <c r="U63" s="6">
        <f t="shared" si="25"/>
        <v>2957500</v>
      </c>
      <c r="V63" s="6"/>
      <c r="W63" s="122"/>
      <c r="X63" s="6">
        <f t="shared" si="7"/>
        <v>2957500</v>
      </c>
      <c r="Y63" s="119" t="s">
        <v>129</v>
      </c>
      <c r="Z63" s="123" t="s">
        <v>130</v>
      </c>
    </row>
    <row r="64" spans="1:28" ht="14.25" x14ac:dyDescent="0.2">
      <c r="A64" s="226"/>
      <c r="B64" s="8">
        <v>61</v>
      </c>
      <c r="C64" s="1" t="s">
        <v>131</v>
      </c>
      <c r="D64" s="2" t="s">
        <v>32</v>
      </c>
      <c r="E64" s="5">
        <v>2500000</v>
      </c>
      <c r="F64" s="5">
        <v>30</v>
      </c>
      <c r="G64" s="5">
        <f t="shared" si="27"/>
        <v>2500000</v>
      </c>
      <c r="H64" s="5"/>
      <c r="I64" s="5"/>
      <c r="J64" s="5"/>
      <c r="K64" s="5">
        <f t="shared" si="13"/>
        <v>2500000</v>
      </c>
      <c r="L64" s="5">
        <f t="shared" si="22"/>
        <v>100000</v>
      </c>
      <c r="M64" s="5">
        <f t="shared" si="23"/>
        <v>100000</v>
      </c>
      <c r="N64" s="5"/>
      <c r="O64" s="5"/>
      <c r="P64" s="7">
        <v>0</v>
      </c>
      <c r="Q64" s="5"/>
      <c r="R64" s="5"/>
      <c r="S64" s="5">
        <v>586000</v>
      </c>
      <c r="T64" s="5">
        <f t="shared" si="18"/>
        <v>786000</v>
      </c>
      <c r="U64" s="6">
        <f t="shared" si="25"/>
        <v>1714000</v>
      </c>
      <c r="V64" s="6"/>
      <c r="W64" s="122"/>
      <c r="X64" s="6">
        <f t="shared" si="7"/>
        <v>1714000</v>
      </c>
      <c r="Y64" s="119" t="s">
        <v>132</v>
      </c>
    </row>
    <row r="65" spans="1:25" ht="12" x14ac:dyDescent="0.25">
      <c r="A65" s="226"/>
      <c r="B65" s="8">
        <v>62</v>
      </c>
      <c r="C65" s="1" t="s">
        <v>133</v>
      </c>
      <c r="D65" s="2" t="s">
        <v>32</v>
      </c>
      <c r="E65" s="5">
        <v>1800000</v>
      </c>
      <c r="F65" s="5">
        <v>30</v>
      </c>
      <c r="G65" s="5">
        <f t="shared" si="27"/>
        <v>1800000</v>
      </c>
      <c r="H65" s="5"/>
      <c r="I65" s="5"/>
      <c r="J65" s="5"/>
      <c r="K65" s="5">
        <f t="shared" si="13"/>
        <v>1800000</v>
      </c>
      <c r="L65" s="5">
        <f t="shared" si="22"/>
        <v>72000</v>
      </c>
      <c r="M65" s="5">
        <f t="shared" si="23"/>
        <v>72000</v>
      </c>
      <c r="N65" s="5"/>
      <c r="O65" s="5"/>
      <c r="P65" s="7">
        <v>0</v>
      </c>
      <c r="Q65" s="5"/>
      <c r="R65" s="5">
        <v>107336</v>
      </c>
      <c r="S65" s="5">
        <v>510000</v>
      </c>
      <c r="T65" s="5">
        <f t="shared" si="18"/>
        <v>761336</v>
      </c>
      <c r="U65" s="6">
        <f t="shared" si="25"/>
        <v>1038664</v>
      </c>
      <c r="V65" s="6"/>
      <c r="W65" s="122"/>
      <c r="X65" s="6">
        <f t="shared" si="7"/>
        <v>1038664</v>
      </c>
      <c r="Y65" s="61" t="s">
        <v>134</v>
      </c>
    </row>
    <row r="66" spans="1:25" ht="14.25" x14ac:dyDescent="0.25">
      <c r="A66" s="226"/>
      <c r="B66" s="8">
        <v>63</v>
      </c>
      <c r="C66" s="1" t="s">
        <v>173</v>
      </c>
      <c r="D66" s="2" t="s">
        <v>32</v>
      </c>
      <c r="E66" s="5">
        <v>689454</v>
      </c>
      <c r="F66" s="5">
        <v>9</v>
      </c>
      <c r="G66" s="5">
        <f t="shared" si="27"/>
        <v>206836.19999999998</v>
      </c>
      <c r="H66" s="5">
        <v>23311</v>
      </c>
      <c r="I66" s="5"/>
      <c r="J66" s="5"/>
      <c r="K66" s="5">
        <f t="shared" si="13"/>
        <v>230147.19999999998</v>
      </c>
      <c r="L66" s="5">
        <f t="shared" si="22"/>
        <v>8273.4480000000003</v>
      </c>
      <c r="M66" s="5">
        <f t="shared" si="23"/>
        <v>8273.4480000000003</v>
      </c>
      <c r="N66" s="5"/>
      <c r="O66" s="5"/>
      <c r="P66" s="7"/>
      <c r="Q66" s="5"/>
      <c r="R66" s="5"/>
      <c r="S66" s="5"/>
      <c r="T66" s="5">
        <f t="shared" si="18"/>
        <v>16546.896000000001</v>
      </c>
      <c r="U66" s="6">
        <f t="shared" si="25"/>
        <v>213600.30399999997</v>
      </c>
      <c r="V66" s="6"/>
      <c r="W66" s="122"/>
      <c r="X66" s="6">
        <f t="shared" si="7"/>
        <v>213600.30399999997</v>
      </c>
      <c r="Y66" s="120" t="s">
        <v>174</v>
      </c>
    </row>
    <row r="67" spans="1:25" ht="14.25" x14ac:dyDescent="0.2">
      <c r="A67" s="226"/>
      <c r="B67" s="8">
        <v>64</v>
      </c>
      <c r="C67" s="1" t="s">
        <v>135</v>
      </c>
      <c r="D67" s="2" t="s">
        <v>32</v>
      </c>
      <c r="E67" s="5">
        <v>1800000</v>
      </c>
      <c r="F67" s="5">
        <v>30</v>
      </c>
      <c r="G67" s="5">
        <f>+E67/30*F67</f>
        <v>1800000</v>
      </c>
      <c r="H67" s="5"/>
      <c r="I67" s="5"/>
      <c r="J67" s="5"/>
      <c r="K67" s="5">
        <f t="shared" si="13"/>
        <v>1800000</v>
      </c>
      <c r="L67" s="5">
        <f t="shared" si="22"/>
        <v>72000</v>
      </c>
      <c r="M67" s="5">
        <f t="shared" si="23"/>
        <v>72000</v>
      </c>
      <c r="N67" s="5"/>
      <c r="O67" s="5"/>
      <c r="P67" s="5">
        <v>0</v>
      </c>
      <c r="Q67" s="5"/>
      <c r="R67" s="5"/>
      <c r="S67" s="5">
        <v>257196</v>
      </c>
      <c r="T67" s="5">
        <f t="shared" si="18"/>
        <v>401196</v>
      </c>
      <c r="U67" s="6">
        <f t="shared" si="25"/>
        <v>1398804</v>
      </c>
      <c r="V67" s="6"/>
      <c r="W67" s="122"/>
      <c r="X67" s="6">
        <f t="shared" si="7"/>
        <v>1398804</v>
      </c>
      <c r="Y67" s="119" t="s">
        <v>136</v>
      </c>
    </row>
    <row r="68" spans="1:25" ht="14.25" x14ac:dyDescent="0.2">
      <c r="A68" s="226"/>
      <c r="B68" s="8">
        <v>65</v>
      </c>
      <c r="C68" s="1" t="s">
        <v>137</v>
      </c>
      <c r="D68" s="2"/>
      <c r="E68" s="5">
        <v>1000000</v>
      </c>
      <c r="F68" s="5">
        <v>30</v>
      </c>
      <c r="G68" s="5">
        <f t="shared" ref="G68" si="28">+E68/30*F68</f>
        <v>1000000.0000000001</v>
      </c>
      <c r="H68" s="5">
        <v>77700</v>
      </c>
      <c r="I68" s="5"/>
      <c r="J68" s="5"/>
      <c r="K68" s="5">
        <f t="shared" si="13"/>
        <v>1077700</v>
      </c>
      <c r="L68" s="5">
        <f t="shared" si="22"/>
        <v>40000.000000000007</v>
      </c>
      <c r="M68" s="5">
        <f t="shared" si="23"/>
        <v>40000.000000000007</v>
      </c>
      <c r="N68" s="5"/>
      <c r="O68" s="5"/>
      <c r="P68" s="5">
        <v>0</v>
      </c>
      <c r="Q68" s="5"/>
      <c r="R68" s="5"/>
      <c r="S68" s="5"/>
      <c r="T68" s="5">
        <f t="shared" si="18"/>
        <v>80000.000000000015</v>
      </c>
      <c r="U68" s="6">
        <f t="shared" si="25"/>
        <v>997700</v>
      </c>
      <c r="V68" s="6"/>
      <c r="W68" s="122"/>
      <c r="X68" s="6">
        <f t="shared" si="7"/>
        <v>997700</v>
      </c>
      <c r="Y68" s="119"/>
    </row>
    <row r="69" spans="1:25" ht="14.25" x14ac:dyDescent="0.2">
      <c r="A69" s="226"/>
      <c r="B69" s="8">
        <v>66</v>
      </c>
      <c r="C69" s="1" t="s">
        <v>138</v>
      </c>
      <c r="D69" s="2" t="s">
        <v>32</v>
      </c>
      <c r="E69" s="5">
        <v>4500000</v>
      </c>
      <c r="F69" s="5">
        <v>30</v>
      </c>
      <c r="G69" s="5">
        <f t="shared" si="27"/>
        <v>4500000</v>
      </c>
      <c r="H69" s="5"/>
      <c r="I69" s="5"/>
      <c r="J69" s="5"/>
      <c r="K69" s="5">
        <f t="shared" si="13"/>
        <v>4500000</v>
      </c>
      <c r="L69" s="5">
        <f t="shared" si="22"/>
        <v>180000</v>
      </c>
      <c r="M69" s="5">
        <f>+G69*5%</f>
        <v>225000</v>
      </c>
      <c r="N69" s="5"/>
      <c r="O69" s="5"/>
      <c r="P69" s="5">
        <v>73073</v>
      </c>
      <c r="Q69" s="5"/>
      <c r="R69" s="5"/>
      <c r="S69" s="5"/>
      <c r="T69" s="5">
        <f t="shared" si="18"/>
        <v>478073</v>
      </c>
      <c r="U69" s="6">
        <f>K69-T69</f>
        <v>4021927</v>
      </c>
      <c r="V69" s="6"/>
      <c r="W69" s="122"/>
      <c r="X69" s="6">
        <f t="shared" si="7"/>
        <v>4021927</v>
      </c>
      <c r="Y69" s="119" t="s">
        <v>139</v>
      </c>
    </row>
    <row r="70" spans="1:25" ht="14.25" x14ac:dyDescent="0.25">
      <c r="A70" s="226"/>
      <c r="B70" s="8">
        <v>67</v>
      </c>
      <c r="C70" s="1" t="s">
        <v>142</v>
      </c>
      <c r="D70" s="2" t="s">
        <v>32</v>
      </c>
      <c r="E70" s="5">
        <v>2500000</v>
      </c>
      <c r="F70" s="5">
        <v>30</v>
      </c>
      <c r="G70" s="5">
        <f t="shared" si="27"/>
        <v>2500000</v>
      </c>
      <c r="H70" s="5"/>
      <c r="I70" s="5"/>
      <c r="J70" s="5"/>
      <c r="K70" s="5">
        <f t="shared" si="13"/>
        <v>2500000</v>
      </c>
      <c r="L70" s="5">
        <f t="shared" si="22"/>
        <v>100000</v>
      </c>
      <c r="M70" s="5">
        <f t="shared" si="23"/>
        <v>100000</v>
      </c>
      <c r="N70" s="5"/>
      <c r="O70" s="5"/>
      <c r="P70" s="5">
        <v>0</v>
      </c>
      <c r="Q70" s="5"/>
      <c r="R70" s="5"/>
      <c r="S70" s="5"/>
      <c r="T70" s="5">
        <f t="shared" si="18"/>
        <v>200000</v>
      </c>
      <c r="U70" s="6">
        <f>K70-T70</f>
        <v>2300000</v>
      </c>
      <c r="V70" s="6"/>
      <c r="W70" s="122"/>
      <c r="X70" s="6">
        <f t="shared" si="7"/>
        <v>2300000</v>
      </c>
      <c r="Y70" s="125" t="s">
        <v>143</v>
      </c>
    </row>
    <row r="71" spans="1:25" ht="14.25" x14ac:dyDescent="0.2">
      <c r="A71" s="226"/>
      <c r="B71" s="8">
        <v>68</v>
      </c>
      <c r="C71" s="1" t="s">
        <v>140</v>
      </c>
      <c r="D71" s="2" t="s">
        <v>32</v>
      </c>
      <c r="E71" s="5">
        <v>1500000</v>
      </c>
      <c r="F71" s="5">
        <v>30</v>
      </c>
      <c r="G71" s="5">
        <f t="shared" si="27"/>
        <v>1500000</v>
      </c>
      <c r="H71" s="5"/>
      <c r="I71" s="5"/>
      <c r="J71" s="5"/>
      <c r="K71" s="5">
        <f t="shared" si="13"/>
        <v>1500000</v>
      </c>
      <c r="L71" s="5">
        <f t="shared" si="22"/>
        <v>60000</v>
      </c>
      <c r="M71" s="5">
        <f t="shared" si="23"/>
        <v>60000</v>
      </c>
      <c r="N71" s="5"/>
      <c r="O71" s="5"/>
      <c r="P71" s="5">
        <v>0</v>
      </c>
      <c r="Q71" s="5"/>
      <c r="R71" s="5"/>
      <c r="S71" s="5"/>
      <c r="T71" s="5">
        <f t="shared" si="18"/>
        <v>120000</v>
      </c>
      <c r="U71" s="6">
        <f>K71-T71</f>
        <v>1380000</v>
      </c>
      <c r="V71" s="6"/>
      <c r="W71" s="122"/>
      <c r="X71" s="6">
        <f t="shared" si="7"/>
        <v>1380000</v>
      </c>
      <c r="Y71" s="119" t="s">
        <v>141</v>
      </c>
    </row>
    <row r="72" spans="1:25" ht="11.25" x14ac:dyDescent="0.25">
      <c r="A72" s="226"/>
      <c r="B72" s="8">
        <v>69</v>
      </c>
      <c r="C72" s="9" t="s">
        <v>144</v>
      </c>
      <c r="D72" s="8" t="s">
        <v>32</v>
      </c>
      <c r="E72" s="5">
        <v>689455</v>
      </c>
      <c r="F72" s="5">
        <v>29</v>
      </c>
      <c r="G72" s="5">
        <f>+E72/30*F72+15322</f>
        <v>681795.16666666663</v>
      </c>
      <c r="H72" s="5">
        <v>77700</v>
      </c>
      <c r="I72" s="5">
        <v>100000</v>
      </c>
      <c r="J72" s="5"/>
      <c r="K72" s="5">
        <f t="shared" si="13"/>
        <v>859495.16666666663</v>
      </c>
      <c r="L72" s="5">
        <f t="shared" si="22"/>
        <v>27271.806666666667</v>
      </c>
      <c r="M72" s="5">
        <f t="shared" si="23"/>
        <v>27271.806666666667</v>
      </c>
      <c r="N72" s="5"/>
      <c r="O72" s="5"/>
      <c r="P72" s="5">
        <v>0</v>
      </c>
      <c r="Q72" s="5"/>
      <c r="R72" s="5"/>
      <c r="S72" s="5"/>
      <c r="T72" s="5">
        <f t="shared" si="18"/>
        <v>54543.613333333335</v>
      </c>
      <c r="U72" s="6">
        <f>K72-T72</f>
        <v>804951.55333333334</v>
      </c>
      <c r="V72" s="6"/>
      <c r="W72" s="122"/>
      <c r="X72" s="6">
        <f t="shared" si="7"/>
        <v>804951.55333333334</v>
      </c>
      <c r="Y72" s="126" t="s">
        <v>145</v>
      </c>
    </row>
    <row r="73" spans="1:25" ht="14.25" x14ac:dyDescent="0.2">
      <c r="A73" s="226"/>
      <c r="B73" s="8">
        <v>70</v>
      </c>
      <c r="C73" s="1" t="s">
        <v>146</v>
      </c>
      <c r="D73" s="2" t="s">
        <v>32</v>
      </c>
      <c r="E73" s="5">
        <v>15400000</v>
      </c>
      <c r="F73" s="5">
        <v>30</v>
      </c>
      <c r="G73" s="5">
        <f t="shared" ref="G73:G80" si="29">+E73/30*F73</f>
        <v>15400000</v>
      </c>
      <c r="H73" s="5"/>
      <c r="I73" s="5">
        <v>600000</v>
      </c>
      <c r="J73" s="5"/>
      <c r="K73" s="5">
        <f t="shared" si="13"/>
        <v>16000000</v>
      </c>
      <c r="L73" s="5">
        <f t="shared" si="22"/>
        <v>616000</v>
      </c>
      <c r="M73" s="5">
        <f>+G73*6%</f>
        <v>924000</v>
      </c>
      <c r="N73" s="5">
        <v>102400</v>
      </c>
      <c r="O73" s="5"/>
      <c r="P73" s="5">
        <v>1014000</v>
      </c>
      <c r="Q73" s="5">
        <v>5000000</v>
      </c>
      <c r="R73" s="5">
        <v>180180</v>
      </c>
      <c r="S73" s="5"/>
      <c r="T73" s="5">
        <f t="shared" si="18"/>
        <v>7836580</v>
      </c>
      <c r="U73" s="6">
        <f>+K73-T73</f>
        <v>8163420</v>
      </c>
      <c r="V73" s="6"/>
      <c r="W73" s="122"/>
      <c r="X73" s="6">
        <f t="shared" si="7"/>
        <v>8163420</v>
      </c>
      <c r="Y73" s="119" t="s">
        <v>147</v>
      </c>
    </row>
    <row r="74" spans="1:25" ht="11.25" x14ac:dyDescent="0.25">
      <c r="A74" s="226"/>
      <c r="B74" s="8">
        <v>71</v>
      </c>
      <c r="C74" s="1" t="s">
        <v>148</v>
      </c>
      <c r="D74" s="2" t="s">
        <v>32</v>
      </c>
      <c r="E74" s="5">
        <v>4500000</v>
      </c>
      <c r="F74" s="5">
        <v>30</v>
      </c>
      <c r="G74" s="5">
        <f t="shared" si="29"/>
        <v>4500000</v>
      </c>
      <c r="H74" s="5"/>
      <c r="I74" s="5"/>
      <c r="J74" s="5"/>
      <c r="K74" s="5">
        <f t="shared" si="13"/>
        <v>4500000</v>
      </c>
      <c r="L74" s="5">
        <f t="shared" si="22"/>
        <v>180000</v>
      </c>
      <c r="M74" s="5">
        <f>+G74*5%</f>
        <v>225000</v>
      </c>
      <c r="N74" s="5"/>
      <c r="O74" s="5"/>
      <c r="P74" s="5">
        <v>90000</v>
      </c>
      <c r="Q74" s="5"/>
      <c r="R74" s="5"/>
      <c r="S74" s="5">
        <f>887544</f>
        <v>887544</v>
      </c>
      <c r="T74" s="5">
        <f t="shared" si="18"/>
        <v>1382544</v>
      </c>
      <c r="U74" s="6">
        <f>+K74-T74</f>
        <v>3117456</v>
      </c>
      <c r="V74" s="6"/>
      <c r="W74" s="122"/>
      <c r="X74" s="6">
        <f t="shared" si="7"/>
        <v>3117456</v>
      </c>
      <c r="Y74" s="126" t="s">
        <v>149</v>
      </c>
    </row>
    <row r="75" spans="1:25" ht="12" x14ac:dyDescent="0.2">
      <c r="A75" s="226"/>
      <c r="B75" s="8">
        <v>72</v>
      </c>
      <c r="C75" s="1" t="s">
        <v>150</v>
      </c>
      <c r="D75" s="2" t="s">
        <v>32</v>
      </c>
      <c r="E75" s="5">
        <v>1000000</v>
      </c>
      <c r="F75" s="5">
        <v>30</v>
      </c>
      <c r="G75" s="5">
        <f t="shared" si="29"/>
        <v>1000000.0000000001</v>
      </c>
      <c r="H75" s="5">
        <v>77700</v>
      </c>
      <c r="I75" s="5"/>
      <c r="J75" s="5"/>
      <c r="K75" s="5">
        <f t="shared" si="13"/>
        <v>1077700</v>
      </c>
      <c r="L75" s="5">
        <f t="shared" si="22"/>
        <v>40000.000000000007</v>
      </c>
      <c r="M75" s="5">
        <f t="shared" si="23"/>
        <v>40000.000000000007</v>
      </c>
      <c r="N75" s="5"/>
      <c r="O75" s="5"/>
      <c r="P75" s="5">
        <v>0</v>
      </c>
      <c r="Q75" s="5"/>
      <c r="R75" s="5"/>
      <c r="S75" s="5"/>
      <c r="T75" s="5">
        <f t="shared" si="18"/>
        <v>80000.000000000015</v>
      </c>
      <c r="U75" s="6">
        <f>+K75-T75</f>
        <v>997700</v>
      </c>
      <c r="V75" s="6"/>
      <c r="W75" s="122"/>
      <c r="X75" s="6">
        <f t="shared" si="7"/>
        <v>997700</v>
      </c>
      <c r="Y75" s="97" t="s">
        <v>151</v>
      </c>
    </row>
    <row r="76" spans="1:25" ht="14.25" x14ac:dyDescent="0.2">
      <c r="A76" s="226"/>
      <c r="B76" s="8">
        <v>73</v>
      </c>
      <c r="C76" s="9" t="s">
        <v>152</v>
      </c>
      <c r="D76" s="8" t="s">
        <v>32</v>
      </c>
      <c r="E76" s="5">
        <v>1500000</v>
      </c>
      <c r="F76" s="5">
        <v>30</v>
      </c>
      <c r="G76" s="5">
        <f t="shared" si="29"/>
        <v>1500000</v>
      </c>
      <c r="H76" s="5"/>
      <c r="I76" s="5"/>
      <c r="J76" s="5"/>
      <c r="K76" s="5">
        <f t="shared" si="13"/>
        <v>1500000</v>
      </c>
      <c r="L76" s="5">
        <f t="shared" si="22"/>
        <v>60000</v>
      </c>
      <c r="M76" s="5">
        <f t="shared" si="23"/>
        <v>60000</v>
      </c>
      <c r="N76" s="5"/>
      <c r="O76" s="5"/>
      <c r="P76" s="5">
        <v>0</v>
      </c>
      <c r="Q76" s="5"/>
      <c r="R76" s="5"/>
      <c r="S76" s="5"/>
      <c r="T76" s="5">
        <f t="shared" si="18"/>
        <v>120000</v>
      </c>
      <c r="U76" s="6">
        <f>K76-T76</f>
        <v>1380000</v>
      </c>
      <c r="V76" s="6"/>
      <c r="W76" s="122"/>
      <c r="X76" s="6">
        <f t="shared" ref="X76:X87" si="30">U76+V76-W76</f>
        <v>1380000</v>
      </c>
      <c r="Y76" s="119" t="s">
        <v>153</v>
      </c>
    </row>
    <row r="77" spans="1:25" ht="14.25" x14ac:dyDescent="0.2">
      <c r="A77" s="226"/>
      <c r="B77" s="8">
        <v>74</v>
      </c>
      <c r="C77" s="1" t="s">
        <v>155</v>
      </c>
      <c r="D77" s="2" t="s">
        <v>32</v>
      </c>
      <c r="E77" s="5">
        <v>1300000</v>
      </c>
      <c r="F77" s="5">
        <v>30</v>
      </c>
      <c r="G77" s="5">
        <f t="shared" si="29"/>
        <v>1300000</v>
      </c>
      <c r="H77" s="5">
        <v>77700</v>
      </c>
      <c r="I77" s="5"/>
      <c r="J77" s="5"/>
      <c r="K77" s="5">
        <f t="shared" si="13"/>
        <v>1377700</v>
      </c>
      <c r="L77" s="5">
        <f t="shared" si="22"/>
        <v>52000</v>
      </c>
      <c r="M77" s="5">
        <f t="shared" si="23"/>
        <v>52000</v>
      </c>
      <c r="N77" s="5"/>
      <c r="O77" s="5"/>
      <c r="P77" s="5">
        <v>0</v>
      </c>
      <c r="Q77" s="5"/>
      <c r="R77" s="5"/>
      <c r="S77" s="5"/>
      <c r="T77" s="5">
        <f t="shared" si="18"/>
        <v>104000</v>
      </c>
      <c r="U77" s="6">
        <f>+K77-T77</f>
        <v>1273700</v>
      </c>
      <c r="V77" s="6"/>
      <c r="W77" s="122"/>
      <c r="X77" s="6">
        <f t="shared" si="30"/>
        <v>1273700</v>
      </c>
      <c r="Y77" s="119" t="s">
        <v>156</v>
      </c>
    </row>
    <row r="78" spans="1:25" ht="12" x14ac:dyDescent="0.25">
      <c r="A78" s="226"/>
      <c r="B78" s="8">
        <v>75</v>
      </c>
      <c r="C78" s="1" t="s">
        <v>157</v>
      </c>
      <c r="D78" s="2" t="s">
        <v>32</v>
      </c>
      <c r="E78" s="5">
        <v>4000000</v>
      </c>
      <c r="F78" s="5">
        <v>30</v>
      </c>
      <c r="G78" s="5">
        <f t="shared" si="29"/>
        <v>4000000.0000000005</v>
      </c>
      <c r="H78" s="5"/>
      <c r="I78" s="5"/>
      <c r="J78" s="5"/>
      <c r="K78" s="5">
        <f t="shared" si="13"/>
        <v>4000000.0000000005</v>
      </c>
      <c r="L78" s="5">
        <f t="shared" si="22"/>
        <v>160000.00000000003</v>
      </c>
      <c r="M78" s="5">
        <f>+G78*5%</f>
        <v>200000.00000000003</v>
      </c>
      <c r="N78" s="5"/>
      <c r="O78" s="5"/>
      <c r="P78" s="5">
        <v>31064</v>
      </c>
      <c r="Q78" s="5"/>
      <c r="R78" s="5">
        <v>107336</v>
      </c>
      <c r="S78" s="5"/>
      <c r="T78" s="5">
        <f t="shared" si="18"/>
        <v>498400.00000000006</v>
      </c>
      <c r="U78" s="6">
        <f>+K78-T78</f>
        <v>3501600.0000000005</v>
      </c>
      <c r="V78" s="6"/>
      <c r="W78" s="122"/>
      <c r="X78" s="6">
        <f t="shared" si="30"/>
        <v>3501600.0000000005</v>
      </c>
      <c r="Y78" s="19" t="s">
        <v>158</v>
      </c>
    </row>
    <row r="79" spans="1:25" ht="12" x14ac:dyDescent="0.25">
      <c r="A79" s="226"/>
      <c r="B79" s="8">
        <v>76</v>
      </c>
      <c r="C79" s="1" t="s">
        <v>175</v>
      </c>
      <c r="D79" s="2" t="s">
        <v>32</v>
      </c>
      <c r="E79" s="5">
        <v>2000000</v>
      </c>
      <c r="F79" s="5">
        <v>14</v>
      </c>
      <c r="G79" s="5">
        <f t="shared" si="29"/>
        <v>933333.33333333337</v>
      </c>
      <c r="H79" s="5"/>
      <c r="I79" s="5"/>
      <c r="J79" s="5"/>
      <c r="K79" s="5">
        <f t="shared" si="13"/>
        <v>933333.33333333337</v>
      </c>
      <c r="L79" s="5">
        <f t="shared" si="22"/>
        <v>37333.333333333336</v>
      </c>
      <c r="M79" s="5">
        <f t="shared" si="23"/>
        <v>37333.333333333336</v>
      </c>
      <c r="N79" s="5"/>
      <c r="O79" s="5"/>
      <c r="P79" s="5"/>
      <c r="Q79" s="5"/>
      <c r="R79" s="5"/>
      <c r="S79" s="5"/>
      <c r="T79" s="5">
        <f t="shared" si="18"/>
        <v>74666.666666666672</v>
      </c>
      <c r="U79" s="6">
        <f>+K79-T79</f>
        <v>858666.66666666674</v>
      </c>
      <c r="V79" s="6"/>
      <c r="W79" s="122"/>
      <c r="X79" s="6">
        <f t="shared" si="30"/>
        <v>858666.66666666674</v>
      </c>
      <c r="Y79" s="19"/>
    </row>
    <row r="80" spans="1:25" ht="14.25" x14ac:dyDescent="0.2">
      <c r="A80" s="226"/>
      <c r="B80" s="8">
        <v>77</v>
      </c>
      <c r="C80" s="1" t="s">
        <v>154</v>
      </c>
      <c r="D80" s="2" t="s">
        <v>105</v>
      </c>
      <c r="E80" s="5">
        <v>1400000</v>
      </c>
      <c r="F80" s="5">
        <v>30</v>
      </c>
      <c r="G80" s="5">
        <f t="shared" si="29"/>
        <v>1400000</v>
      </c>
      <c r="H80" s="5"/>
      <c r="I80" s="5"/>
      <c r="J80" s="5"/>
      <c r="K80" s="5">
        <f t="shared" si="13"/>
        <v>1400000</v>
      </c>
      <c r="L80" s="5">
        <f t="shared" si="22"/>
        <v>56000</v>
      </c>
      <c r="M80" s="5">
        <f t="shared" si="23"/>
        <v>56000</v>
      </c>
      <c r="N80" s="5"/>
      <c r="O80" s="5"/>
      <c r="P80" s="7"/>
      <c r="Q80" s="5"/>
      <c r="R80" s="5"/>
      <c r="S80" s="5"/>
      <c r="T80" s="5">
        <f t="shared" si="18"/>
        <v>112000</v>
      </c>
      <c r="U80" s="6">
        <f>+K80-T80</f>
        <v>1288000</v>
      </c>
      <c r="V80" s="6"/>
      <c r="W80" s="122"/>
      <c r="X80" s="6">
        <f t="shared" si="30"/>
        <v>1288000</v>
      </c>
      <c r="Y80" s="119"/>
    </row>
    <row r="81" spans="1:29" ht="14.25" x14ac:dyDescent="0.2">
      <c r="A81" s="226"/>
      <c r="B81" s="8">
        <v>78</v>
      </c>
      <c r="C81" s="9" t="s">
        <v>159</v>
      </c>
      <c r="D81" s="8" t="s">
        <v>32</v>
      </c>
      <c r="E81" s="5">
        <v>1300000</v>
      </c>
      <c r="F81" s="5">
        <v>30</v>
      </c>
      <c r="G81" s="5">
        <f>+E81/30*F81</f>
        <v>1300000</v>
      </c>
      <c r="H81" s="5">
        <v>77700</v>
      </c>
      <c r="I81" s="5"/>
      <c r="J81" s="5"/>
      <c r="K81" s="5">
        <f t="shared" si="13"/>
        <v>1377700</v>
      </c>
      <c r="L81" s="5">
        <f t="shared" si="22"/>
        <v>52000</v>
      </c>
      <c r="M81" s="5">
        <f t="shared" si="23"/>
        <v>52000</v>
      </c>
      <c r="N81" s="5"/>
      <c r="O81" s="5"/>
      <c r="P81" s="5">
        <v>0</v>
      </c>
      <c r="Q81" s="5"/>
      <c r="R81" s="5"/>
      <c r="S81" s="5">
        <v>249127</v>
      </c>
      <c r="T81" s="5">
        <f t="shared" si="18"/>
        <v>353127</v>
      </c>
      <c r="U81" s="6">
        <f>K81-T81</f>
        <v>1024573</v>
      </c>
      <c r="V81" s="6"/>
      <c r="W81" s="122"/>
      <c r="X81" s="6">
        <f t="shared" si="30"/>
        <v>1024573</v>
      </c>
      <c r="Y81" s="119" t="s">
        <v>160</v>
      </c>
    </row>
    <row r="82" spans="1:29" ht="14.25" x14ac:dyDescent="0.2">
      <c r="A82" s="226"/>
      <c r="B82" s="8">
        <v>79</v>
      </c>
      <c r="C82" s="1" t="s">
        <v>161</v>
      </c>
      <c r="D82" s="2" t="s">
        <v>32</v>
      </c>
      <c r="E82" s="5">
        <v>689455</v>
      </c>
      <c r="F82" s="5">
        <v>30</v>
      </c>
      <c r="G82" s="5">
        <f>+E82/30*F82</f>
        <v>689455</v>
      </c>
      <c r="H82" s="5">
        <v>77700</v>
      </c>
      <c r="I82" s="5"/>
      <c r="J82" s="5"/>
      <c r="K82" s="5">
        <f t="shared" si="13"/>
        <v>767155</v>
      </c>
      <c r="L82" s="5">
        <f t="shared" si="22"/>
        <v>27578.2</v>
      </c>
      <c r="M82" s="5">
        <f t="shared" si="23"/>
        <v>27578.2</v>
      </c>
      <c r="N82" s="5"/>
      <c r="O82" s="5"/>
      <c r="P82" s="5">
        <v>0</v>
      </c>
      <c r="Q82" s="5"/>
      <c r="R82" s="5"/>
      <c r="S82" s="5"/>
      <c r="T82" s="5">
        <f t="shared" si="18"/>
        <v>55156.4</v>
      </c>
      <c r="U82" s="6">
        <f>+K82-T82</f>
        <v>711998.6</v>
      </c>
      <c r="V82" s="6"/>
      <c r="W82" s="122"/>
      <c r="X82" s="6">
        <f t="shared" si="30"/>
        <v>711998.6</v>
      </c>
      <c r="Y82" s="119" t="s">
        <v>162</v>
      </c>
    </row>
    <row r="83" spans="1:29" ht="14.25" x14ac:dyDescent="0.2">
      <c r="A83" s="226"/>
      <c r="B83" s="8">
        <v>80</v>
      </c>
      <c r="C83" s="118" t="s">
        <v>163</v>
      </c>
      <c r="D83" s="2" t="s">
        <v>32</v>
      </c>
      <c r="E83" s="5">
        <v>800000</v>
      </c>
      <c r="F83" s="5">
        <v>30</v>
      </c>
      <c r="G83" s="5">
        <f>E83</f>
        <v>800000</v>
      </c>
      <c r="H83" s="5">
        <v>77700</v>
      </c>
      <c r="I83" s="5"/>
      <c r="J83" s="5"/>
      <c r="K83" s="5">
        <f t="shared" si="13"/>
        <v>877700</v>
      </c>
      <c r="L83" s="5">
        <f t="shared" si="22"/>
        <v>32000</v>
      </c>
      <c r="M83" s="5">
        <f t="shared" si="23"/>
        <v>32000</v>
      </c>
      <c r="N83" s="5"/>
      <c r="O83" s="5"/>
      <c r="P83" s="5">
        <v>0</v>
      </c>
      <c r="Q83" s="5"/>
      <c r="R83" s="5"/>
      <c r="S83" s="5"/>
      <c r="T83" s="5">
        <f t="shared" si="18"/>
        <v>64000</v>
      </c>
      <c r="U83" s="6">
        <f>+K83-T83</f>
        <v>813700</v>
      </c>
      <c r="V83" s="6"/>
      <c r="W83" s="122"/>
      <c r="X83" s="6">
        <f t="shared" si="30"/>
        <v>813700</v>
      </c>
      <c r="Y83" s="119" t="s">
        <v>164</v>
      </c>
    </row>
    <row r="84" spans="1:29" ht="18.75" customHeight="1" x14ac:dyDescent="0.2">
      <c r="A84" s="128"/>
      <c r="B84" s="8">
        <v>81</v>
      </c>
      <c r="C84" s="1" t="s">
        <v>165</v>
      </c>
      <c r="D84" s="2" t="s">
        <v>32</v>
      </c>
      <c r="E84" s="5">
        <v>1300000</v>
      </c>
      <c r="F84" s="5">
        <v>30</v>
      </c>
      <c r="G84" s="5">
        <f t="shared" ref="G84:G87" si="31">+E84/30*F84</f>
        <v>1300000</v>
      </c>
      <c r="H84" s="5">
        <v>77700</v>
      </c>
      <c r="I84" s="5"/>
      <c r="J84" s="5"/>
      <c r="K84" s="5">
        <f t="shared" si="13"/>
        <v>1377700</v>
      </c>
      <c r="L84" s="5">
        <f t="shared" si="22"/>
        <v>52000</v>
      </c>
      <c r="M84" s="5">
        <f t="shared" si="23"/>
        <v>52000</v>
      </c>
      <c r="N84" s="5"/>
      <c r="O84" s="5"/>
      <c r="P84" s="5"/>
      <c r="Q84" s="5"/>
      <c r="R84" s="5"/>
      <c r="S84" s="5"/>
      <c r="T84" s="5">
        <f t="shared" si="18"/>
        <v>104000</v>
      </c>
      <c r="U84" s="6">
        <f>+K84-T84</f>
        <v>1273700</v>
      </c>
      <c r="V84" s="6"/>
      <c r="W84" s="122"/>
      <c r="X84" s="6">
        <f t="shared" si="30"/>
        <v>1273700</v>
      </c>
      <c r="Y84" s="119"/>
    </row>
    <row r="85" spans="1:29" ht="14.25" x14ac:dyDescent="0.2">
      <c r="A85" s="128"/>
      <c r="B85" s="8">
        <v>82</v>
      </c>
      <c r="C85" s="118" t="s">
        <v>168</v>
      </c>
      <c r="D85" s="3" t="s">
        <v>32</v>
      </c>
      <c r="E85" s="5">
        <v>689455</v>
      </c>
      <c r="F85" s="5">
        <v>30</v>
      </c>
      <c r="G85" s="5">
        <f t="shared" si="31"/>
        <v>689455</v>
      </c>
      <c r="H85" s="5"/>
      <c r="I85" s="5"/>
      <c r="J85" s="5"/>
      <c r="K85" s="5">
        <f t="shared" si="13"/>
        <v>689455</v>
      </c>
      <c r="L85" s="5"/>
      <c r="M85" s="5"/>
      <c r="N85" s="5"/>
      <c r="O85" s="5"/>
      <c r="P85" s="5">
        <v>0</v>
      </c>
      <c r="Q85" s="5"/>
      <c r="R85" s="5"/>
      <c r="S85" s="5"/>
      <c r="T85" s="5">
        <f t="shared" si="18"/>
        <v>0</v>
      </c>
      <c r="U85" s="6">
        <f>K85-T85</f>
        <v>689455</v>
      </c>
      <c r="V85" s="6"/>
      <c r="W85" s="122"/>
      <c r="X85" s="6">
        <f t="shared" si="30"/>
        <v>689455</v>
      </c>
      <c r="Y85" s="119"/>
    </row>
    <row r="86" spans="1:29" ht="14.25" x14ac:dyDescent="0.2">
      <c r="A86" s="128"/>
      <c r="B86" s="8">
        <v>83</v>
      </c>
      <c r="C86" s="118" t="s">
        <v>176</v>
      </c>
      <c r="D86" s="3" t="s">
        <v>32</v>
      </c>
      <c r="E86" s="5">
        <v>4000000</v>
      </c>
      <c r="F86" s="5">
        <v>5</v>
      </c>
      <c r="G86" s="5">
        <f t="shared" si="31"/>
        <v>666666.66666666674</v>
      </c>
      <c r="H86" s="5"/>
      <c r="I86" s="5"/>
      <c r="J86" s="5"/>
      <c r="K86" s="5">
        <f t="shared" ref="K86" si="32">SUM(G86:I86)+J86</f>
        <v>666666.66666666674</v>
      </c>
      <c r="L86" s="5">
        <f t="shared" ref="L86" si="33">+G86*4%</f>
        <v>26666.666666666672</v>
      </c>
      <c r="M86" s="5">
        <f t="shared" ref="M86" si="34">+G86*4%</f>
        <v>26666.666666666672</v>
      </c>
      <c r="N86" s="5"/>
      <c r="O86" s="5"/>
      <c r="P86" s="5"/>
      <c r="Q86" s="5"/>
      <c r="R86" s="5"/>
      <c r="S86" s="5"/>
      <c r="T86" s="5">
        <f t="shared" si="18"/>
        <v>53333.333333333343</v>
      </c>
      <c r="U86" s="6">
        <f>+K86-T86</f>
        <v>613333.33333333337</v>
      </c>
      <c r="V86" s="6"/>
      <c r="W86" s="122"/>
      <c r="X86" s="6">
        <f t="shared" si="30"/>
        <v>613333.33333333337</v>
      </c>
      <c r="Y86" s="119"/>
    </row>
    <row r="87" spans="1:29" ht="19.5" customHeight="1" x14ac:dyDescent="0.2">
      <c r="A87" s="128"/>
      <c r="B87" s="8">
        <v>84</v>
      </c>
      <c r="C87" s="118" t="s">
        <v>166</v>
      </c>
      <c r="D87" s="3" t="s">
        <v>32</v>
      </c>
      <c r="E87" s="5">
        <v>2500000</v>
      </c>
      <c r="F87" s="5">
        <v>30</v>
      </c>
      <c r="G87" s="5">
        <f t="shared" si="31"/>
        <v>2500000</v>
      </c>
      <c r="H87" s="5"/>
      <c r="I87" s="5"/>
      <c r="J87" s="5"/>
      <c r="K87" s="5">
        <f t="shared" si="13"/>
        <v>2500000</v>
      </c>
      <c r="L87" s="5">
        <f>+G87*4%</f>
        <v>100000</v>
      </c>
      <c r="M87" s="5">
        <f>+G87*4%</f>
        <v>100000</v>
      </c>
      <c r="N87" s="5"/>
      <c r="O87" s="5"/>
      <c r="P87" s="5">
        <v>0</v>
      </c>
      <c r="Q87" s="5"/>
      <c r="R87" s="5"/>
      <c r="S87" s="5"/>
      <c r="T87" s="5">
        <f t="shared" si="18"/>
        <v>200000</v>
      </c>
      <c r="U87" s="6">
        <f>K87-T87</f>
        <v>2300000</v>
      </c>
      <c r="V87" s="6"/>
      <c r="W87" s="122"/>
      <c r="X87" s="6">
        <f t="shared" si="30"/>
        <v>2300000</v>
      </c>
      <c r="Y87" s="119" t="s">
        <v>167</v>
      </c>
    </row>
    <row r="88" spans="1:29" ht="11.25" x14ac:dyDescent="0.25">
      <c r="A88" s="8"/>
      <c r="B88" s="8"/>
      <c r="C88" s="1" t="s">
        <v>169</v>
      </c>
      <c r="D88" s="8"/>
      <c r="E88" s="5">
        <f>SUM(E4:E87)</f>
        <v>277938255</v>
      </c>
      <c r="F88" s="5" t="s">
        <v>1</v>
      </c>
      <c r="G88" s="5">
        <f>SUM(G4:G87)</f>
        <v>272881325.36666667</v>
      </c>
      <c r="H88" s="5">
        <f>SUM(H5:H83)</f>
        <v>1033411</v>
      </c>
      <c r="I88" s="5">
        <f>SUM(I5:I83)</f>
        <v>10182987</v>
      </c>
      <c r="J88" s="5">
        <f>SUM(J4:J87)</f>
        <v>0</v>
      </c>
      <c r="K88" s="5">
        <f>SUM(K5:K83)</f>
        <v>274441601.69999999</v>
      </c>
      <c r="L88" s="5">
        <f>SUM(L5:L83)</f>
        <v>10460062.708000001</v>
      </c>
      <c r="M88" s="5">
        <f>SUM(M5:M83)</f>
        <v>12815630.708000001</v>
      </c>
      <c r="N88" s="5">
        <f>SUM(N5:N83)</f>
        <v>102400</v>
      </c>
      <c r="O88" s="5">
        <f>SUM(O7:O83)</f>
        <v>0</v>
      </c>
      <c r="P88" s="5">
        <f>SUM(P5:P83)</f>
        <v>4108483</v>
      </c>
      <c r="Q88" s="5">
        <f>SUM(Q5:Q83)</f>
        <v>8100000</v>
      </c>
      <c r="R88" s="5">
        <f>SUM(R5:R83)</f>
        <v>1881131</v>
      </c>
      <c r="S88" s="5">
        <f>SUM(S5:S83)</f>
        <v>6657679</v>
      </c>
      <c r="T88" s="5">
        <f>SUM(T5:T83)</f>
        <v>44125386.415999994</v>
      </c>
      <c r="U88" s="6">
        <f>SUM(U4:U87)</f>
        <v>239188951.61733332</v>
      </c>
      <c r="V88" s="6">
        <f>SUM(V5:V83)</f>
        <v>0</v>
      </c>
      <c r="W88" s="122">
        <f>SUM(W5:W83)</f>
        <v>0</v>
      </c>
      <c r="X88" s="6">
        <f>SUM(X4:X87)</f>
        <v>239188951.61733332</v>
      </c>
      <c r="Y88" s="129"/>
    </row>
    <row r="89" spans="1:29" x14ac:dyDescent="0.25">
      <c r="E89" s="132"/>
      <c r="F89" s="132"/>
      <c r="G89" s="132"/>
      <c r="U89" s="134"/>
      <c r="V89" s="134"/>
      <c r="X89" s="134"/>
    </row>
    <row r="90" spans="1:29" ht="11.25" x14ac:dyDescent="0.25">
      <c r="D90" s="131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6"/>
      <c r="V90" s="131"/>
      <c r="W90" s="137"/>
      <c r="X90" s="136"/>
      <c r="Y90" s="138"/>
    </row>
    <row r="91" spans="1:29" ht="11.25" x14ac:dyDescent="0.25">
      <c r="D91" s="131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1"/>
      <c r="V91" s="131"/>
      <c r="W91" s="137"/>
      <c r="X91" s="136"/>
      <c r="Y91" s="139"/>
    </row>
    <row r="92" spans="1:29" x14ac:dyDescent="0.25">
      <c r="C92" s="138"/>
      <c r="D92" s="131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1"/>
      <c r="V92" s="131"/>
      <c r="W92" s="137"/>
      <c r="X92" s="140"/>
      <c r="Y92" s="138"/>
    </row>
    <row r="93" spans="1:29" x14ac:dyDescent="0.25">
      <c r="C93" s="138"/>
      <c r="D93" s="131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1"/>
      <c r="V93" s="131"/>
      <c r="W93" s="137"/>
      <c r="X93" s="131"/>
      <c r="Y93" s="138"/>
      <c r="Z93" s="131"/>
      <c r="AA93" s="131"/>
      <c r="AB93" s="131"/>
      <c r="AC93" s="131"/>
    </row>
    <row r="94" spans="1:29" x14ac:dyDescent="0.25">
      <c r="B94" s="131"/>
      <c r="C94" s="138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32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31"/>
      <c r="AA94" s="131"/>
      <c r="AB94" s="131"/>
      <c r="AC94" s="131"/>
    </row>
    <row r="95" spans="1:29" x14ac:dyDescent="0.25">
      <c r="B95" s="131"/>
      <c r="C95" s="138"/>
      <c r="D95" s="131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1"/>
      <c r="V95" s="131"/>
      <c r="W95" s="137"/>
      <c r="X95" s="131"/>
      <c r="Y95" s="138"/>
      <c r="Z95" s="131"/>
      <c r="AA95" s="131"/>
      <c r="AB95" s="131"/>
      <c r="AC95" s="131"/>
    </row>
    <row r="96" spans="1:29" x14ac:dyDescent="0.25">
      <c r="B96" s="131"/>
      <c r="C96" s="138"/>
      <c r="D96" s="131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1"/>
      <c r="V96" s="131"/>
      <c r="W96" s="137"/>
      <c r="X96" s="131"/>
      <c r="Y96" s="138"/>
      <c r="Z96" s="131"/>
      <c r="AA96" s="131"/>
      <c r="AB96" s="131"/>
      <c r="AC96" s="131"/>
    </row>
    <row r="97" spans="2:29" x14ac:dyDescent="0.25">
      <c r="B97" s="131"/>
      <c r="C97" s="138"/>
      <c r="D97" s="131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1"/>
      <c r="V97" s="131"/>
      <c r="W97" s="137"/>
      <c r="X97" s="131"/>
      <c r="Y97" s="138"/>
      <c r="Z97" s="131"/>
      <c r="AA97" s="131"/>
      <c r="AB97" s="131"/>
      <c r="AC97" s="131"/>
    </row>
    <row r="98" spans="2:29" x14ac:dyDescent="0.25">
      <c r="B98" s="131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3"/>
      <c r="W98" s="144"/>
      <c r="X98" s="143"/>
      <c r="Y98" s="145"/>
      <c r="Z98" s="131"/>
      <c r="AA98" s="131"/>
      <c r="AB98" s="131"/>
      <c r="AC98" s="131"/>
    </row>
    <row r="99" spans="2:29" x14ac:dyDescent="0.25">
      <c r="B99" s="146"/>
      <c r="C99" s="138"/>
      <c r="D99" s="143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3"/>
      <c r="V99" s="143"/>
      <c r="W99" s="144"/>
      <c r="X99" s="143"/>
      <c r="Y99" s="145"/>
      <c r="Z99" s="131"/>
      <c r="AA99" s="131"/>
      <c r="AB99" s="131"/>
      <c r="AC99" s="131"/>
    </row>
    <row r="100" spans="2:29" x14ac:dyDescent="0.25">
      <c r="B100" s="131"/>
      <c r="C100" s="138"/>
      <c r="D100" s="131"/>
      <c r="E100" s="132"/>
      <c r="F100" s="132"/>
      <c r="G100" s="148"/>
      <c r="H100" s="132"/>
      <c r="I100" s="132"/>
      <c r="J100" s="132"/>
      <c r="K100" s="132"/>
      <c r="L100" s="132"/>
      <c r="M100" s="132"/>
      <c r="N100" s="149"/>
      <c r="O100" s="149"/>
      <c r="P100" s="149"/>
      <c r="Q100" s="149"/>
      <c r="R100" s="149"/>
      <c r="S100" s="132"/>
      <c r="T100" s="132"/>
      <c r="U100" s="131"/>
      <c r="V100" s="131"/>
      <c r="W100" s="137"/>
      <c r="X100" s="131"/>
      <c r="Y100" s="138"/>
      <c r="Z100" s="131"/>
      <c r="AA100" s="131"/>
      <c r="AB100" s="131"/>
      <c r="AC100" s="131"/>
    </row>
    <row r="101" spans="2:29" x14ac:dyDescent="0.25">
      <c r="B101" s="131"/>
      <c r="C101" s="145"/>
      <c r="D101" s="143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3"/>
      <c r="V101" s="143"/>
      <c r="W101" s="144"/>
      <c r="X101" s="143"/>
      <c r="Y101" s="145"/>
      <c r="Z101" s="131"/>
      <c r="AA101" s="131"/>
      <c r="AB101" s="131"/>
      <c r="AC101" s="131"/>
    </row>
    <row r="102" spans="2:29" x14ac:dyDescent="0.25">
      <c r="B102" s="143"/>
      <c r="C102" s="145"/>
      <c r="D102" s="143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3"/>
      <c r="V102" s="143"/>
      <c r="W102" s="144"/>
      <c r="X102" s="143"/>
      <c r="Y102" s="145"/>
      <c r="Z102" s="131"/>
      <c r="AA102" s="131"/>
      <c r="AB102" s="131"/>
      <c r="AC102" s="131"/>
    </row>
    <row r="103" spans="2:29" x14ac:dyDescent="0.25">
      <c r="B103" s="131"/>
      <c r="C103" s="145"/>
      <c r="D103" s="143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40"/>
      <c r="V103" s="140"/>
      <c r="W103" s="137"/>
      <c r="X103" s="140"/>
      <c r="Y103" s="139"/>
      <c r="Z103" s="131"/>
      <c r="AA103" s="131"/>
      <c r="AB103" s="131"/>
      <c r="AC103" s="131"/>
    </row>
    <row r="104" spans="2:29" x14ac:dyDescent="0.25">
      <c r="C104" s="145"/>
      <c r="D104" s="143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40"/>
      <c r="V104" s="140"/>
      <c r="W104" s="137"/>
      <c r="X104" s="140"/>
      <c r="Y104" s="139"/>
      <c r="Z104" s="131"/>
      <c r="AA104" s="131"/>
      <c r="AB104" s="131"/>
      <c r="AC104" s="131"/>
    </row>
    <row r="105" spans="2:29" x14ac:dyDescent="0.25">
      <c r="C105" s="145"/>
      <c r="D105" s="143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40"/>
      <c r="V105" s="140"/>
      <c r="W105" s="137"/>
      <c r="X105" s="140"/>
      <c r="Y105" s="139"/>
      <c r="Z105" s="131"/>
      <c r="AA105" s="131"/>
      <c r="AB105" s="131"/>
      <c r="AC105" s="131"/>
    </row>
    <row r="106" spans="2:29" x14ac:dyDescent="0.25">
      <c r="C106" s="145"/>
      <c r="D106" s="143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40"/>
      <c r="V106" s="140"/>
      <c r="W106" s="137"/>
      <c r="X106" s="140"/>
      <c r="Y106" s="139"/>
      <c r="Z106" s="131"/>
      <c r="AA106" s="131"/>
      <c r="AB106" s="131"/>
      <c r="AC106" s="131"/>
    </row>
    <row r="107" spans="2:29" x14ac:dyDescent="0.25">
      <c r="C107" s="145"/>
      <c r="D107" s="143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40"/>
      <c r="V107" s="140"/>
      <c r="W107" s="137"/>
      <c r="X107" s="140"/>
      <c r="Y107" s="139"/>
      <c r="Z107" s="131"/>
      <c r="AA107" s="131"/>
      <c r="AB107" s="131"/>
      <c r="AC107" s="131"/>
    </row>
    <row r="108" spans="2:29" x14ac:dyDescent="0.25">
      <c r="C108" s="145"/>
      <c r="D108" s="143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40"/>
      <c r="V108" s="140"/>
      <c r="W108" s="137"/>
      <c r="X108" s="140"/>
      <c r="Y108" s="139"/>
      <c r="Z108" s="131"/>
      <c r="AA108" s="131"/>
      <c r="AB108" s="131"/>
      <c r="AC108" s="131"/>
    </row>
    <row r="109" spans="2:29" x14ac:dyDescent="0.25">
      <c r="C109" s="138"/>
      <c r="D109" s="131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40"/>
      <c r="V109" s="140"/>
      <c r="W109" s="137"/>
      <c r="X109" s="140"/>
      <c r="Y109" s="139"/>
      <c r="Z109" s="131"/>
      <c r="AA109" s="131"/>
      <c r="AB109" s="131"/>
      <c r="AC109" s="131"/>
    </row>
    <row r="110" spans="2:29" x14ac:dyDescent="0.25">
      <c r="C110" s="145"/>
      <c r="D110" s="131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40"/>
      <c r="V110" s="140"/>
      <c r="W110" s="137"/>
      <c r="X110" s="140"/>
      <c r="Y110" s="139"/>
      <c r="Z110" s="131"/>
      <c r="AA110" s="131"/>
      <c r="AB110" s="131"/>
      <c r="AC110" s="131"/>
    </row>
    <row r="111" spans="2:29" x14ac:dyDescent="0.25">
      <c r="C111" s="145"/>
      <c r="D111" s="131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40"/>
      <c r="V111" s="140"/>
      <c r="W111" s="137"/>
      <c r="X111" s="140"/>
      <c r="Y111" s="139"/>
      <c r="Z111" s="131"/>
      <c r="AA111" s="131"/>
      <c r="AB111" s="131"/>
      <c r="AC111" s="131"/>
    </row>
    <row r="112" spans="2:29" x14ac:dyDescent="0.25">
      <c r="C112" s="145"/>
      <c r="D112" s="131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40"/>
      <c r="V112" s="140"/>
      <c r="W112" s="137"/>
      <c r="X112" s="140"/>
      <c r="Y112" s="139"/>
      <c r="Z112" s="131"/>
      <c r="AA112" s="131"/>
      <c r="AB112" s="131"/>
      <c r="AC112" s="131"/>
    </row>
    <row r="113" spans="2:29" x14ac:dyDescent="0.25">
      <c r="C113" s="145"/>
      <c r="D113" s="131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40"/>
      <c r="V113" s="140"/>
      <c r="W113" s="137"/>
      <c r="X113" s="140"/>
      <c r="Y113" s="139"/>
      <c r="Z113" s="131"/>
      <c r="AA113" s="131"/>
      <c r="AB113" s="131"/>
      <c r="AC113" s="131"/>
    </row>
    <row r="114" spans="2:29" x14ac:dyDescent="0.25">
      <c r="C114" s="145"/>
      <c r="D114" s="131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40"/>
      <c r="V114" s="140"/>
      <c r="W114" s="137"/>
      <c r="X114" s="140"/>
      <c r="Y114" s="139"/>
      <c r="Z114" s="131"/>
      <c r="AA114" s="131"/>
      <c r="AB114" s="131"/>
      <c r="AC114" s="131"/>
    </row>
    <row r="115" spans="2:29" x14ac:dyDescent="0.25">
      <c r="C115" s="145"/>
      <c r="D115" s="131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40"/>
      <c r="V115" s="140"/>
      <c r="W115" s="137"/>
      <c r="X115" s="140"/>
      <c r="Y115" s="139"/>
      <c r="Z115" s="131"/>
      <c r="AA115" s="131"/>
      <c r="AB115" s="131"/>
      <c r="AC115" s="131"/>
    </row>
    <row r="116" spans="2:29" x14ac:dyDescent="0.25">
      <c r="C116" s="145"/>
      <c r="D116" s="131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40"/>
      <c r="V116" s="140"/>
      <c r="W116" s="137"/>
      <c r="X116" s="140"/>
      <c r="Y116" s="139"/>
      <c r="Z116" s="131"/>
      <c r="AA116" s="131"/>
      <c r="AB116" s="131"/>
      <c r="AC116" s="131"/>
    </row>
    <row r="117" spans="2:29" x14ac:dyDescent="0.25">
      <c r="C117" s="145"/>
      <c r="D117" s="131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40"/>
      <c r="V117" s="140"/>
      <c r="W117" s="137"/>
      <c r="X117" s="140"/>
      <c r="Y117" s="139"/>
      <c r="Z117" s="131"/>
      <c r="AA117" s="131"/>
      <c r="AB117" s="131"/>
      <c r="AC117" s="131"/>
    </row>
    <row r="118" spans="2:29" x14ac:dyDescent="0.25">
      <c r="C118" s="145"/>
      <c r="D118" s="131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40"/>
      <c r="V118" s="140"/>
      <c r="W118" s="137"/>
      <c r="X118" s="140"/>
      <c r="Y118" s="139"/>
      <c r="Z118" s="131"/>
      <c r="AA118" s="131"/>
      <c r="AB118" s="131"/>
      <c r="AC118" s="131"/>
    </row>
    <row r="119" spans="2:29" x14ac:dyDescent="0.25">
      <c r="C119" s="145"/>
      <c r="D119" s="131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40"/>
      <c r="V119" s="140"/>
      <c r="W119" s="137"/>
      <c r="X119" s="140"/>
      <c r="Y119" s="139"/>
      <c r="Z119" s="131"/>
      <c r="AA119" s="131"/>
      <c r="AB119" s="131"/>
      <c r="AC119" s="131"/>
    </row>
    <row r="120" spans="2:29" x14ac:dyDescent="0.25">
      <c r="C120" s="145"/>
      <c r="D120" s="131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40"/>
      <c r="V120" s="140"/>
      <c r="W120" s="137"/>
      <c r="X120" s="140"/>
      <c r="Y120" s="139"/>
      <c r="Z120" s="131"/>
      <c r="AA120" s="131"/>
      <c r="AB120" s="131"/>
      <c r="AC120" s="131"/>
    </row>
    <row r="121" spans="2:29" x14ac:dyDescent="0.25">
      <c r="C121" s="138"/>
      <c r="D121" s="131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1"/>
      <c r="V121" s="131"/>
      <c r="W121" s="137"/>
      <c r="X121" s="131"/>
      <c r="Y121" s="138"/>
      <c r="Z121" s="131"/>
      <c r="AA121" s="131"/>
      <c r="AB121" s="131"/>
      <c r="AC121" s="131"/>
    </row>
    <row r="122" spans="2:29" x14ac:dyDescent="0.25">
      <c r="C122" s="138"/>
      <c r="D122" s="131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131"/>
      <c r="S122" s="132"/>
      <c r="T122" s="132"/>
      <c r="U122" s="131"/>
      <c r="V122" s="131"/>
      <c r="W122" s="137"/>
      <c r="X122" s="131"/>
      <c r="Y122" s="138"/>
      <c r="Z122" s="131"/>
      <c r="AA122" s="131"/>
      <c r="AB122" s="131"/>
      <c r="AC122" s="131"/>
    </row>
    <row r="123" spans="2:29" x14ac:dyDescent="0.25">
      <c r="B123" s="131"/>
      <c r="C123" s="138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131"/>
      <c r="AA123" s="131"/>
      <c r="AB123" s="131"/>
      <c r="AC123" s="131"/>
    </row>
    <row r="124" spans="2:29" x14ac:dyDescent="0.25">
      <c r="B124" s="131"/>
      <c r="C124" s="138"/>
      <c r="D124" s="131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3"/>
      <c r="V124" s="143"/>
      <c r="W124" s="144"/>
      <c r="X124" s="143"/>
      <c r="Y124" s="145"/>
      <c r="Z124" s="131"/>
      <c r="AA124" s="131"/>
      <c r="AB124" s="131"/>
      <c r="AC124" s="131"/>
    </row>
    <row r="125" spans="2:29" x14ac:dyDescent="0.25">
      <c r="B125" s="131"/>
      <c r="C125" s="145"/>
      <c r="D125" s="143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3"/>
      <c r="V125" s="143"/>
      <c r="W125" s="144"/>
      <c r="X125" s="143"/>
      <c r="Y125" s="145"/>
    </row>
    <row r="126" spans="2:29" x14ac:dyDescent="0.25">
      <c r="B126" s="150"/>
      <c r="C126" s="145"/>
      <c r="D126" s="143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3"/>
      <c r="V126" s="143"/>
      <c r="W126" s="144"/>
      <c r="X126" s="143"/>
      <c r="Y126" s="145"/>
    </row>
    <row r="127" spans="2:29" x14ac:dyDescent="0.25">
      <c r="C127" s="145"/>
      <c r="D127" s="143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40"/>
      <c r="V127" s="140"/>
      <c r="W127" s="137"/>
      <c r="X127" s="140"/>
      <c r="Y127" s="139"/>
    </row>
    <row r="128" spans="2:29" x14ac:dyDescent="0.25">
      <c r="C128" s="145"/>
      <c r="D128" s="143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40"/>
      <c r="V128" s="140"/>
      <c r="W128" s="137"/>
      <c r="X128" s="140"/>
      <c r="Y128" s="139"/>
    </row>
    <row r="129" spans="2:25" x14ac:dyDescent="0.25">
      <c r="C129" s="145"/>
      <c r="D129" s="143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40"/>
      <c r="V129" s="140"/>
      <c r="W129" s="137"/>
      <c r="X129" s="140"/>
      <c r="Y129" s="139"/>
    </row>
    <row r="130" spans="2:25" x14ac:dyDescent="0.25">
      <c r="C130" s="138"/>
      <c r="D130" s="131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40"/>
      <c r="V130" s="140"/>
      <c r="W130" s="137"/>
      <c r="X130" s="140"/>
      <c r="Y130" s="139"/>
    </row>
    <row r="131" spans="2:25" x14ac:dyDescent="0.25">
      <c r="C131" s="145"/>
      <c r="D131" s="131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40"/>
      <c r="V131" s="140"/>
      <c r="W131" s="137"/>
      <c r="X131" s="140"/>
      <c r="Y131" s="139"/>
    </row>
    <row r="132" spans="2:25" x14ac:dyDescent="0.25">
      <c r="C132" s="138"/>
      <c r="D132" s="131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1"/>
      <c r="V132" s="131"/>
      <c r="W132" s="137"/>
      <c r="X132" s="131"/>
      <c r="Y132" s="138"/>
    </row>
    <row r="133" spans="2:25" x14ac:dyDescent="0.25">
      <c r="C133" s="138"/>
      <c r="D133" s="131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40"/>
      <c r="V133" s="140"/>
      <c r="W133" s="137"/>
      <c r="X133" s="140"/>
      <c r="Y133" s="139"/>
    </row>
    <row r="134" spans="2:25" x14ac:dyDescent="0.25">
      <c r="B134" s="131"/>
      <c r="C134" s="138"/>
      <c r="D134" s="131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1"/>
      <c r="V134" s="131"/>
      <c r="W134" s="137"/>
      <c r="X134" s="131"/>
      <c r="Y134" s="138"/>
    </row>
    <row r="135" spans="2:25" x14ac:dyDescent="0.25">
      <c r="B135" s="131"/>
      <c r="C135" s="138"/>
      <c r="D135" s="131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1"/>
      <c r="V135" s="131"/>
      <c r="W135" s="137"/>
      <c r="X135" s="131"/>
      <c r="Y135" s="138"/>
    </row>
    <row r="136" spans="2:25" x14ac:dyDescent="0.25">
      <c r="B136" s="131"/>
      <c r="C136" s="138"/>
      <c r="D136" s="131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51"/>
      <c r="V136" s="151"/>
      <c r="W136" s="137"/>
      <c r="X136" s="151"/>
      <c r="Y136" s="152"/>
    </row>
    <row r="137" spans="2:25" x14ac:dyDescent="0.25">
      <c r="B137" s="131"/>
      <c r="C137" s="138"/>
      <c r="D137" s="131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53"/>
      <c r="V137" s="153"/>
      <c r="W137" s="137"/>
      <c r="X137" s="153"/>
      <c r="Y137" s="154"/>
    </row>
    <row r="138" spans="2:25" x14ac:dyDescent="0.25">
      <c r="C138" s="138"/>
      <c r="D138" s="131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1"/>
      <c r="V138" s="131"/>
      <c r="W138" s="137"/>
      <c r="X138" s="131"/>
      <c r="Y138" s="138"/>
    </row>
    <row r="139" spans="2:25" x14ac:dyDescent="0.25">
      <c r="C139" s="138"/>
      <c r="D139" s="131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1"/>
      <c r="V139" s="131"/>
      <c r="W139" s="137"/>
      <c r="X139" s="131"/>
      <c r="Y139" s="138"/>
    </row>
    <row r="140" spans="2:25" x14ac:dyDescent="0.25">
      <c r="C140" s="138"/>
      <c r="D140" s="131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1"/>
      <c r="V140" s="131"/>
      <c r="W140" s="137"/>
      <c r="X140" s="131"/>
      <c r="Y140" s="138"/>
    </row>
    <row r="141" spans="2:25" x14ac:dyDescent="0.25">
      <c r="C141" s="138"/>
      <c r="D141" s="131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1"/>
      <c r="V141" s="131"/>
      <c r="W141" s="137"/>
      <c r="X141" s="131"/>
      <c r="Y141" s="138"/>
    </row>
    <row r="142" spans="2:25" x14ac:dyDescent="0.25">
      <c r="C142" s="138"/>
      <c r="D142" s="131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1"/>
      <c r="V142" s="131"/>
      <c r="W142" s="137"/>
      <c r="X142" s="131"/>
      <c r="Y142" s="138"/>
    </row>
    <row r="143" spans="2:25" x14ac:dyDescent="0.25">
      <c r="C143" s="138"/>
      <c r="D143" s="131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1"/>
      <c r="V143" s="131"/>
      <c r="W143" s="137"/>
      <c r="X143" s="131"/>
      <c r="Y143" s="138"/>
    </row>
    <row r="144" spans="2:25" x14ac:dyDescent="0.25">
      <c r="C144" s="138"/>
      <c r="D144" s="131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1"/>
      <c r="V144" s="131"/>
      <c r="W144" s="137"/>
      <c r="X144" s="131"/>
      <c r="Y144" s="138"/>
    </row>
    <row r="145" spans="3:25" x14ac:dyDescent="0.25">
      <c r="C145" s="138"/>
      <c r="D145" s="131"/>
      <c r="E145" s="132"/>
      <c r="F145" s="132"/>
      <c r="G145" s="132"/>
      <c r="H145" s="132"/>
      <c r="I145" s="132"/>
      <c r="J145" s="132"/>
      <c r="K145" s="132"/>
      <c r="L145" s="132">
        <v>3003000</v>
      </c>
      <c r="M145" s="132"/>
      <c r="N145" s="132"/>
      <c r="O145" s="132"/>
      <c r="P145" s="132"/>
      <c r="Q145" s="132"/>
      <c r="R145" s="132"/>
      <c r="S145" s="132"/>
      <c r="T145" s="132"/>
      <c r="U145" s="131"/>
      <c r="V145" s="131"/>
      <c r="W145" s="137"/>
      <c r="X145" s="131"/>
      <c r="Y145" s="138"/>
    </row>
    <row r="146" spans="3:25" x14ac:dyDescent="0.25">
      <c r="C146" s="145"/>
      <c r="D146" s="131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1"/>
      <c r="V146" s="131"/>
      <c r="W146" s="137"/>
      <c r="X146" s="131"/>
      <c r="Y146" s="138"/>
    </row>
    <row r="147" spans="3:25" x14ac:dyDescent="0.25">
      <c r="C147" s="145"/>
      <c r="D147" s="131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1"/>
      <c r="V147" s="131"/>
      <c r="W147" s="137"/>
      <c r="X147" s="131"/>
      <c r="Y147" s="138"/>
    </row>
    <row r="148" spans="3:25" x14ac:dyDescent="0.25">
      <c r="C148" s="145"/>
      <c r="D148" s="131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1"/>
      <c r="V148" s="131"/>
      <c r="W148" s="137"/>
      <c r="X148" s="131"/>
      <c r="Y148" s="138"/>
    </row>
    <row r="149" spans="3:25" x14ac:dyDescent="0.25">
      <c r="C149" s="145"/>
      <c r="D149" s="131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1"/>
      <c r="V149" s="131"/>
      <c r="W149" s="137"/>
      <c r="X149" s="131"/>
      <c r="Y149" s="138"/>
    </row>
    <row r="150" spans="3:25" x14ac:dyDescent="0.25">
      <c r="C150" s="138">
        <v>42614840</v>
      </c>
      <c r="D150" s="131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>
        <v>412608</v>
      </c>
      <c r="U150" s="131"/>
      <c r="V150" s="131"/>
      <c r="W150" s="137"/>
      <c r="X150" s="131"/>
      <c r="Y150" s="138"/>
    </row>
    <row r="151" spans="3:25" x14ac:dyDescent="0.25">
      <c r="C151" s="138">
        <v>9675182</v>
      </c>
      <c r="D151" s="131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>
        <v>1880000</v>
      </c>
      <c r="U151" s="131"/>
      <c r="V151" s="131"/>
      <c r="W151" s="137"/>
      <c r="X151" s="131"/>
      <c r="Y151" s="138"/>
    </row>
    <row r="152" spans="3:25" x14ac:dyDescent="0.25">
      <c r="C152" s="138">
        <v>17903600</v>
      </c>
      <c r="D152" s="131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1"/>
      <c r="V152" s="131"/>
      <c r="W152" s="137"/>
      <c r="X152" s="131"/>
      <c r="Y152" s="138"/>
    </row>
    <row r="153" spans="3:25" x14ac:dyDescent="0.25">
      <c r="C153" s="138">
        <f>SUM(C150:C152)</f>
        <v>70193622</v>
      </c>
      <c r="D153" s="131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1"/>
      <c r="V153" s="131"/>
      <c r="W153" s="137"/>
      <c r="X153" s="131"/>
      <c r="Y153" s="138"/>
    </row>
    <row r="154" spans="3:25" x14ac:dyDescent="0.25">
      <c r="C154" s="138">
        <v>400000</v>
      </c>
      <c r="D154" s="131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1"/>
      <c r="V154" s="131"/>
      <c r="W154" s="137"/>
      <c r="X154" s="131"/>
      <c r="Y154" s="138"/>
    </row>
    <row r="155" spans="3:25" x14ac:dyDescent="0.25">
      <c r="C155" s="138">
        <f>+C153+C154</f>
        <v>70593622</v>
      </c>
      <c r="D155" s="131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1"/>
      <c r="V155" s="131"/>
      <c r="W155" s="137"/>
      <c r="X155" s="131"/>
      <c r="Y155" s="138"/>
    </row>
    <row r="158" spans="3:25" x14ac:dyDescent="0.25">
      <c r="C158" s="130">
        <v>64000000</v>
      </c>
    </row>
    <row r="159" spans="3:25" x14ac:dyDescent="0.25">
      <c r="C159" s="130">
        <v>11000000</v>
      </c>
    </row>
    <row r="160" spans="3:25" x14ac:dyDescent="0.25">
      <c r="C160" s="130">
        <f>+C158+C159</f>
        <v>75000000</v>
      </c>
    </row>
    <row r="164" spans="3:3" x14ac:dyDescent="0.25">
      <c r="C164" s="130">
        <v>2745000</v>
      </c>
    </row>
    <row r="165" spans="3:3" x14ac:dyDescent="0.25">
      <c r="C165" s="130">
        <v>3185000</v>
      </c>
    </row>
    <row r="166" spans="3:3" x14ac:dyDescent="0.25">
      <c r="C166" s="130">
        <v>1080000</v>
      </c>
    </row>
    <row r="167" spans="3:3" x14ac:dyDescent="0.25">
      <c r="C167" s="130">
        <v>4850100</v>
      </c>
    </row>
    <row r="168" spans="3:3" x14ac:dyDescent="0.25">
      <c r="C168" s="130">
        <v>5027500</v>
      </c>
    </row>
    <row r="169" spans="3:3" x14ac:dyDescent="0.25">
      <c r="C169" s="130">
        <v>4566000</v>
      </c>
    </row>
    <row r="170" spans="3:3" x14ac:dyDescent="0.25">
      <c r="C170" s="130">
        <v>1050000</v>
      </c>
    </row>
    <row r="171" spans="3:3" x14ac:dyDescent="0.25">
      <c r="C171" s="130">
        <v>3877333</v>
      </c>
    </row>
    <row r="172" spans="3:3" x14ac:dyDescent="0.25">
      <c r="C172" s="130">
        <v>6732440</v>
      </c>
    </row>
    <row r="173" spans="3:3" x14ac:dyDescent="0.25">
      <c r="C173" s="130">
        <v>3460000</v>
      </c>
    </row>
    <row r="174" spans="3:3" x14ac:dyDescent="0.25">
      <c r="C174" s="130">
        <v>588800</v>
      </c>
    </row>
    <row r="175" spans="3:3" x14ac:dyDescent="0.25">
      <c r="C175" s="130">
        <v>1868000</v>
      </c>
    </row>
    <row r="176" spans="3:3" x14ac:dyDescent="0.25">
      <c r="C176" s="130">
        <v>10313000</v>
      </c>
    </row>
    <row r="177" spans="3:3" x14ac:dyDescent="0.25">
      <c r="C177" s="130">
        <v>3443800</v>
      </c>
    </row>
    <row r="178" spans="3:3" x14ac:dyDescent="0.25">
      <c r="C178" s="130">
        <v>8136400</v>
      </c>
    </row>
    <row r="179" spans="3:3" x14ac:dyDescent="0.25">
      <c r="C179" s="130">
        <v>9675183</v>
      </c>
    </row>
    <row r="180" spans="3:3" x14ac:dyDescent="0.25">
      <c r="C180" s="130">
        <f>SUM(C164:C179)</f>
        <v>70598556</v>
      </c>
    </row>
  </sheetData>
  <mergeCells count="7">
    <mergeCell ref="D123:Y123"/>
    <mergeCell ref="C1:U1"/>
    <mergeCell ref="E2:K2"/>
    <mergeCell ref="L2:T2"/>
    <mergeCell ref="A3:A45"/>
    <mergeCell ref="A46:A83"/>
    <mergeCell ref="E122:Q122"/>
  </mergeCells>
  <hyperlinks>
    <hyperlink ref="Y5" r:id="rId1" xr:uid="{B875284C-05AF-4FA0-AC35-263F0EDE7162}"/>
    <hyperlink ref="Y62" r:id="rId2" xr:uid="{A4A9040A-F052-40F3-A84A-F468B9A4CB52}"/>
    <hyperlink ref="Y51" r:id="rId3" xr:uid="{5DEBA9CA-8D39-42AD-B097-861957DC2D8A}"/>
    <hyperlink ref="Y52" r:id="rId4" xr:uid="{BCD635E5-A154-4772-8367-FC05D48F0C9B}"/>
    <hyperlink ref="Y20" r:id="rId5" xr:uid="{B6278A71-B400-4CA3-B030-5CF04CBBDE11}"/>
    <hyperlink ref="Y37" r:id="rId6" xr:uid="{3B089EF7-FD24-423C-852F-3FA359027171}"/>
    <hyperlink ref="Y83" r:id="rId7" xr:uid="{5494D19A-FC3A-43D8-B495-B85BCE12014E}"/>
    <hyperlink ref="Y14" r:id="rId8" xr:uid="{D467A1DD-BE09-4E5D-AC9B-43E6B1EE3038}"/>
    <hyperlink ref="Y82" r:id="rId9" xr:uid="{598E6EB6-947E-4A2C-96AC-3AE848F6FB06}"/>
    <hyperlink ref="Y81" r:id="rId10" xr:uid="{843A5DB4-F9DC-43CE-ADE5-6EE924E15CA0}"/>
    <hyperlink ref="Y76" r:id="rId11" xr:uid="{CCD5BE18-85B6-4770-93F5-B25A70ACBEE0}"/>
    <hyperlink ref="Y73" r:id="rId12" xr:uid="{618B922C-1C73-49CA-901E-B9A0D073727C}"/>
    <hyperlink ref="Y71" r:id="rId13" xr:uid="{E10AA495-B7FA-440F-91F9-1FB50B6F5F4E}"/>
    <hyperlink ref="Y69" r:id="rId14" xr:uid="{489D68B1-B30F-420A-AC21-BA2EBF88296C}"/>
    <hyperlink ref="Y67" r:id="rId15" xr:uid="{A184EF43-7A99-45A3-81F2-7EB61F1FB536}"/>
    <hyperlink ref="Y64" r:id="rId16" xr:uid="{5CC54659-205D-4202-B7FB-FA51CC5D00A5}"/>
    <hyperlink ref="Y63" r:id="rId17" xr:uid="{22F1DD71-36E4-4A23-BD81-D8D8DFCDB95A}"/>
    <hyperlink ref="Y57" r:id="rId18" xr:uid="{9323C9CB-E30E-4D2B-9FF6-DE234AF26CA7}"/>
    <hyperlink ref="Y54" r:id="rId19" xr:uid="{758BCD52-9333-46F3-BD74-3FEF5DF98A1D}"/>
    <hyperlink ref="Y53" r:id="rId20" xr:uid="{6AF65B1E-0173-4F8F-B815-7A25D9093F3D}"/>
    <hyperlink ref="Y46" r:id="rId21" xr:uid="{13DC3606-95D9-4097-9F92-ABA4EC4A433C}"/>
    <hyperlink ref="Y44" r:id="rId22" xr:uid="{8C193E46-5599-491D-82D9-ED28E350220F}"/>
    <hyperlink ref="Y32" r:id="rId23" xr:uid="{87782BC8-F2AE-4BC7-90B9-D34554164FD3}"/>
    <hyperlink ref="Y31" r:id="rId24" xr:uid="{0572A69A-C2AE-4267-8D46-C6EACAE8B0C4}"/>
    <hyperlink ref="Y11" r:id="rId25" xr:uid="{C79C4F76-6701-4FAB-8FD5-B274967A4B74}"/>
    <hyperlink ref="Y30" r:id="rId26" xr:uid="{05ACBAF4-3328-4439-9B19-FD2914DEB5C8}"/>
    <hyperlink ref="Y28" r:id="rId27" xr:uid="{71CD42F5-7032-498E-8A79-6C0DC1A20FE8}"/>
    <hyperlink ref="Y24" r:id="rId28" xr:uid="{A0DFAADC-B172-4FC0-BBC9-8D4A9C879587}"/>
    <hyperlink ref="Y22" r:id="rId29" xr:uid="{0834B867-779C-49C9-9FF9-102D643680CD}"/>
    <hyperlink ref="Y16" r:id="rId30" xr:uid="{AE0B48AE-08B2-4CC3-9541-BE58477FA101}"/>
    <hyperlink ref="Y8" r:id="rId31" xr:uid="{D737B191-BE6B-4F38-BC8F-45DDA34699E2}"/>
    <hyperlink ref="Y7" r:id="rId32" xr:uid="{44E91080-5BFF-404C-A59C-A97C91B35A50}"/>
    <hyperlink ref="Y26" r:id="rId33" xr:uid="{75FBCBD4-A8CF-4082-8CB6-6F1A580FB3D6}"/>
    <hyperlink ref="Y56" r:id="rId34" xr:uid="{694E8D1A-6865-4BBE-B4D9-951D41A5CDB7}"/>
    <hyperlink ref="Y72" r:id="rId35" xr:uid="{7222AF5F-8F26-47C7-97DC-BF4CE96B7709}"/>
    <hyperlink ref="Y74" r:id="rId36" xr:uid="{CB7D7824-9FEC-4269-9C6F-FEA8E17D2D6A}"/>
    <hyperlink ref="Y19" r:id="rId37" xr:uid="{FF7DD44C-F304-4AB2-A182-810F4753EAF3}"/>
    <hyperlink ref="Y13" r:id="rId38" xr:uid="{58AD5A02-AEDF-4BC1-BAEF-8B2171685321}"/>
    <hyperlink ref="Y60" r:id="rId39" xr:uid="{06500885-4E9F-4128-AE71-298C7BFF34FC}"/>
    <hyperlink ref="Y4" r:id="rId40" xr:uid="{DE80DC4E-BB49-4B43-9A2F-8DA7E6CD644B}"/>
    <hyperlink ref="Y87" r:id="rId41" xr:uid="{EFDD4007-E785-4E1F-BEA7-524CAC1D3591}"/>
    <hyperlink ref="Y18" r:id="rId42" xr:uid="{3A43280B-F7C0-45D3-B559-14A41EC6D65A}"/>
    <hyperlink ref="Y34" r:id="rId43" xr:uid="{7982EFDE-FD70-47B0-A22C-75135FE7DC9E}"/>
    <hyperlink ref="Y36" r:id="rId44" xr:uid="{8AA25BEF-E705-4588-94DE-866959D7002B}"/>
    <hyperlink ref="Y38" r:id="rId45" xr:uid="{599382C2-7793-47D7-8F96-A5019B09D306}"/>
    <hyperlink ref="Y66" r:id="rId46" xr:uid="{E96F5BC7-6F34-467E-A406-83FA1C51AF01}"/>
    <hyperlink ref="Y70" r:id="rId47" xr:uid="{A5CCBF55-039B-4B33-BAF5-02E74C8CAA7A}"/>
    <hyperlink ref="Y77" r:id="rId48" xr:uid="{9EA394CF-7FBA-4BAC-B958-CE4F44FB8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A183"/>
  <sheetViews>
    <sheetView topLeftCell="A49" workbookViewId="0">
      <selection activeCell="F13" sqref="F13"/>
    </sheetView>
  </sheetViews>
  <sheetFormatPr baseColWidth="10" defaultRowHeight="12" x14ac:dyDescent="0.25"/>
  <cols>
    <col min="1" max="1" width="31.42578125" style="74" customWidth="1"/>
    <col min="2" max="2" width="8.5703125" style="65" customWidth="1"/>
    <col min="3" max="3" width="10.85546875" style="67" customWidth="1"/>
    <col min="4" max="4" width="4.42578125" style="67" customWidth="1"/>
    <col min="5" max="5" width="11.28515625" style="67" customWidth="1"/>
    <col min="6" max="6" width="9.7109375" style="67" customWidth="1"/>
    <col min="7" max="7" width="10.42578125" style="67" customWidth="1"/>
    <col min="8" max="8" width="9.140625" style="67" customWidth="1"/>
    <col min="9" max="9" width="11.7109375" style="67" customWidth="1"/>
    <col min="10" max="10" width="9.85546875" style="67" customWidth="1"/>
    <col min="11" max="11" width="10.140625" style="67" customWidth="1"/>
    <col min="12" max="12" width="8.7109375" style="67" customWidth="1"/>
    <col min="13" max="13" width="17.7109375" style="67" customWidth="1"/>
    <col min="14" max="14" width="9.5703125" style="67" customWidth="1"/>
    <col min="15" max="15" width="9" style="67" customWidth="1"/>
    <col min="16" max="16" width="9.42578125" style="67" customWidth="1"/>
    <col min="17" max="17" width="9.7109375" style="67" customWidth="1"/>
    <col min="18" max="18" width="10.42578125" style="67" customWidth="1"/>
    <col min="19" max="19" width="13.42578125" style="65" customWidth="1"/>
    <col min="20" max="20" width="4.42578125" style="65" customWidth="1"/>
    <col min="21" max="21" width="7.28515625" style="78" customWidth="1"/>
    <col min="22" max="22" width="14.28515625" style="65" customWidth="1"/>
    <col min="23" max="23" width="31.140625" style="74" customWidth="1"/>
    <col min="24" max="245" width="11.42578125" style="65"/>
    <col min="246" max="246" width="10.5703125" style="65" customWidth="1"/>
    <col min="247" max="247" width="4.85546875" style="65" customWidth="1"/>
    <col min="248" max="248" width="32.42578125" style="65" customWidth="1"/>
    <col min="249" max="249" width="9.85546875" style="65" customWidth="1"/>
    <col min="250" max="250" width="10.140625" style="65" customWidth="1"/>
    <col min="251" max="251" width="12.28515625" style="65" customWidth="1"/>
    <col min="252" max="252" width="15.42578125" style="65" customWidth="1"/>
    <col min="253" max="253" width="11.85546875" style="65" customWidth="1"/>
    <col min="254" max="254" width="13.28515625" style="65" customWidth="1"/>
    <col min="255" max="255" width="15.28515625" style="65" customWidth="1"/>
    <col min="256" max="256" width="11.85546875" style="65" customWidth="1"/>
    <col min="257" max="257" width="6.140625" style="65" customWidth="1"/>
    <col min="258" max="258" width="11.85546875" style="65" customWidth="1"/>
    <col min="259" max="259" width="9.42578125" style="65" customWidth="1"/>
    <col min="260" max="260" width="14.7109375" style="65" customWidth="1"/>
    <col min="261" max="261" width="11.5703125" style="65" customWidth="1"/>
    <col min="262" max="262" width="0.42578125" style="65" customWidth="1"/>
    <col min="263" max="263" width="10.5703125" style="65" bestFit="1" customWidth="1"/>
    <col min="264" max="264" width="12.28515625" style="65" customWidth="1"/>
    <col min="265" max="265" width="12.5703125" style="65" customWidth="1"/>
    <col min="266" max="266" width="10.5703125" style="65" customWidth="1"/>
    <col min="267" max="267" width="10.140625" style="65" customWidth="1"/>
    <col min="268" max="268" width="8.42578125" style="65" customWidth="1"/>
    <col min="269" max="269" width="18.85546875" style="65" customWidth="1"/>
    <col min="270" max="270" width="10.28515625" style="65" customWidth="1"/>
    <col min="271" max="271" width="11.42578125" style="65"/>
    <col min="272" max="272" width="12.140625" style="65" customWidth="1"/>
    <col min="273" max="273" width="10.5703125" style="65" customWidth="1"/>
    <col min="274" max="274" width="12.42578125" style="65" customWidth="1"/>
    <col min="275" max="275" width="15.140625" style="65" customWidth="1"/>
    <col min="276" max="276" width="13.5703125" style="65" customWidth="1"/>
    <col min="277" max="277" width="13.140625" style="65" customWidth="1"/>
    <col min="278" max="278" width="15.7109375" style="65" customWidth="1"/>
    <col min="279" max="279" width="37.5703125" style="65" customWidth="1"/>
    <col min="280" max="501" width="11.42578125" style="65"/>
    <col min="502" max="502" width="10.5703125" style="65" customWidth="1"/>
    <col min="503" max="503" width="4.85546875" style="65" customWidth="1"/>
    <col min="504" max="504" width="32.42578125" style="65" customWidth="1"/>
    <col min="505" max="505" width="9.85546875" style="65" customWidth="1"/>
    <col min="506" max="506" width="10.140625" style="65" customWidth="1"/>
    <col min="507" max="507" width="12.28515625" style="65" customWidth="1"/>
    <col min="508" max="508" width="15.42578125" style="65" customWidth="1"/>
    <col min="509" max="509" width="11.85546875" style="65" customWidth="1"/>
    <col min="510" max="510" width="13.28515625" style="65" customWidth="1"/>
    <col min="511" max="511" width="15.28515625" style="65" customWidth="1"/>
    <col min="512" max="512" width="11.85546875" style="65" customWidth="1"/>
    <col min="513" max="513" width="6.140625" style="65" customWidth="1"/>
    <col min="514" max="514" width="11.85546875" style="65" customWidth="1"/>
    <col min="515" max="515" width="9.42578125" style="65" customWidth="1"/>
    <col min="516" max="516" width="14.7109375" style="65" customWidth="1"/>
    <col min="517" max="517" width="11.5703125" style="65" customWidth="1"/>
    <col min="518" max="518" width="0.42578125" style="65" customWidth="1"/>
    <col min="519" max="519" width="10.5703125" style="65" bestFit="1" customWidth="1"/>
    <col min="520" max="520" width="12.28515625" style="65" customWidth="1"/>
    <col min="521" max="521" width="12.5703125" style="65" customWidth="1"/>
    <col min="522" max="522" width="10.5703125" style="65" customWidth="1"/>
    <col min="523" max="523" width="10.140625" style="65" customWidth="1"/>
    <col min="524" max="524" width="8.42578125" style="65" customWidth="1"/>
    <col min="525" max="525" width="18.85546875" style="65" customWidth="1"/>
    <col min="526" max="526" width="10.28515625" style="65" customWidth="1"/>
    <col min="527" max="527" width="11.42578125" style="65"/>
    <col min="528" max="528" width="12.140625" style="65" customWidth="1"/>
    <col min="529" max="529" width="10.5703125" style="65" customWidth="1"/>
    <col min="530" max="530" width="12.42578125" style="65" customWidth="1"/>
    <col min="531" max="531" width="15.140625" style="65" customWidth="1"/>
    <col min="532" max="532" width="13.5703125" style="65" customWidth="1"/>
    <col min="533" max="533" width="13.140625" style="65" customWidth="1"/>
    <col min="534" max="534" width="15.7109375" style="65" customWidth="1"/>
    <col min="535" max="535" width="37.5703125" style="65" customWidth="1"/>
    <col min="536" max="757" width="11.42578125" style="65"/>
    <col min="758" max="758" width="10.5703125" style="65" customWidth="1"/>
    <col min="759" max="759" width="4.85546875" style="65" customWidth="1"/>
    <col min="760" max="760" width="32.42578125" style="65" customWidth="1"/>
    <col min="761" max="761" width="9.85546875" style="65" customWidth="1"/>
    <col min="762" max="762" width="10.140625" style="65" customWidth="1"/>
    <col min="763" max="763" width="12.28515625" style="65" customWidth="1"/>
    <col min="764" max="764" width="15.42578125" style="65" customWidth="1"/>
    <col min="765" max="765" width="11.85546875" style="65" customWidth="1"/>
    <col min="766" max="766" width="13.28515625" style="65" customWidth="1"/>
    <col min="767" max="767" width="15.28515625" style="65" customWidth="1"/>
    <col min="768" max="768" width="11.85546875" style="65" customWidth="1"/>
    <col min="769" max="769" width="6.140625" style="65" customWidth="1"/>
    <col min="770" max="770" width="11.85546875" style="65" customWidth="1"/>
    <col min="771" max="771" width="9.42578125" style="65" customWidth="1"/>
    <col min="772" max="772" width="14.7109375" style="65" customWidth="1"/>
    <col min="773" max="773" width="11.5703125" style="65" customWidth="1"/>
    <col min="774" max="774" width="0.42578125" style="65" customWidth="1"/>
    <col min="775" max="775" width="10.5703125" style="65" bestFit="1" customWidth="1"/>
    <col min="776" max="776" width="12.28515625" style="65" customWidth="1"/>
    <col min="777" max="777" width="12.5703125" style="65" customWidth="1"/>
    <col min="778" max="778" width="10.5703125" style="65" customWidth="1"/>
    <col min="779" max="779" width="10.140625" style="65" customWidth="1"/>
    <col min="780" max="780" width="8.42578125" style="65" customWidth="1"/>
    <col min="781" max="781" width="18.85546875" style="65" customWidth="1"/>
    <col min="782" max="782" width="10.28515625" style="65" customWidth="1"/>
    <col min="783" max="783" width="11.42578125" style="65"/>
    <col min="784" max="784" width="12.140625" style="65" customWidth="1"/>
    <col min="785" max="785" width="10.5703125" style="65" customWidth="1"/>
    <col min="786" max="786" width="12.42578125" style="65" customWidth="1"/>
    <col min="787" max="787" width="15.140625" style="65" customWidth="1"/>
    <col min="788" max="788" width="13.5703125" style="65" customWidth="1"/>
    <col min="789" max="789" width="13.140625" style="65" customWidth="1"/>
    <col min="790" max="790" width="15.7109375" style="65" customWidth="1"/>
    <col min="791" max="791" width="37.5703125" style="65" customWidth="1"/>
    <col min="792" max="1013" width="11.42578125" style="65"/>
    <col min="1014" max="1014" width="10.5703125" style="65" customWidth="1"/>
    <col min="1015" max="1015" width="4.85546875" style="65" customWidth="1"/>
    <col min="1016" max="1016" width="32.42578125" style="65" customWidth="1"/>
    <col min="1017" max="1017" width="9.85546875" style="65" customWidth="1"/>
    <col min="1018" max="1018" width="10.140625" style="65" customWidth="1"/>
    <col min="1019" max="1019" width="12.28515625" style="65" customWidth="1"/>
    <col min="1020" max="1020" width="15.42578125" style="65" customWidth="1"/>
    <col min="1021" max="1021" width="11.85546875" style="65" customWidth="1"/>
    <col min="1022" max="1022" width="13.28515625" style="65" customWidth="1"/>
    <col min="1023" max="1023" width="15.28515625" style="65" customWidth="1"/>
    <col min="1024" max="1024" width="11.85546875" style="65" customWidth="1"/>
    <col min="1025" max="1025" width="6.140625" style="65" customWidth="1"/>
    <col min="1026" max="1026" width="11.85546875" style="65" customWidth="1"/>
    <col min="1027" max="1027" width="9.42578125" style="65" customWidth="1"/>
    <col min="1028" max="1028" width="14.7109375" style="65" customWidth="1"/>
    <col min="1029" max="1029" width="11.5703125" style="65" customWidth="1"/>
    <col min="1030" max="1030" width="0.42578125" style="65" customWidth="1"/>
    <col min="1031" max="1031" width="10.5703125" style="65" bestFit="1" customWidth="1"/>
    <col min="1032" max="1032" width="12.28515625" style="65" customWidth="1"/>
    <col min="1033" max="1033" width="12.5703125" style="65" customWidth="1"/>
    <col min="1034" max="1034" width="10.5703125" style="65" customWidth="1"/>
    <col min="1035" max="1035" width="10.140625" style="65" customWidth="1"/>
    <col min="1036" max="1036" width="8.42578125" style="65" customWidth="1"/>
    <col min="1037" max="1037" width="18.85546875" style="65" customWidth="1"/>
    <col min="1038" max="1038" width="10.28515625" style="65" customWidth="1"/>
    <col min="1039" max="1039" width="11.42578125" style="65"/>
    <col min="1040" max="1040" width="12.140625" style="65" customWidth="1"/>
    <col min="1041" max="1041" width="10.5703125" style="65" customWidth="1"/>
    <col min="1042" max="1042" width="12.42578125" style="65" customWidth="1"/>
    <col min="1043" max="1043" width="15.140625" style="65" customWidth="1"/>
    <col min="1044" max="1044" width="13.5703125" style="65" customWidth="1"/>
    <col min="1045" max="1045" width="13.140625" style="65" customWidth="1"/>
    <col min="1046" max="1046" width="15.7109375" style="65" customWidth="1"/>
    <col min="1047" max="1047" width="37.5703125" style="65" customWidth="1"/>
    <col min="1048" max="1269" width="11.42578125" style="65"/>
    <col min="1270" max="1270" width="10.5703125" style="65" customWidth="1"/>
    <col min="1271" max="1271" width="4.85546875" style="65" customWidth="1"/>
    <col min="1272" max="1272" width="32.42578125" style="65" customWidth="1"/>
    <col min="1273" max="1273" width="9.85546875" style="65" customWidth="1"/>
    <col min="1274" max="1274" width="10.140625" style="65" customWidth="1"/>
    <col min="1275" max="1275" width="12.28515625" style="65" customWidth="1"/>
    <col min="1276" max="1276" width="15.42578125" style="65" customWidth="1"/>
    <col min="1277" max="1277" width="11.85546875" style="65" customWidth="1"/>
    <col min="1278" max="1278" width="13.28515625" style="65" customWidth="1"/>
    <col min="1279" max="1279" width="15.28515625" style="65" customWidth="1"/>
    <col min="1280" max="1280" width="11.85546875" style="65" customWidth="1"/>
    <col min="1281" max="1281" width="6.140625" style="65" customWidth="1"/>
    <col min="1282" max="1282" width="11.85546875" style="65" customWidth="1"/>
    <col min="1283" max="1283" width="9.42578125" style="65" customWidth="1"/>
    <col min="1284" max="1284" width="14.7109375" style="65" customWidth="1"/>
    <col min="1285" max="1285" width="11.5703125" style="65" customWidth="1"/>
    <col min="1286" max="1286" width="0.42578125" style="65" customWidth="1"/>
    <col min="1287" max="1287" width="10.5703125" style="65" bestFit="1" customWidth="1"/>
    <col min="1288" max="1288" width="12.28515625" style="65" customWidth="1"/>
    <col min="1289" max="1289" width="12.5703125" style="65" customWidth="1"/>
    <col min="1290" max="1290" width="10.5703125" style="65" customWidth="1"/>
    <col min="1291" max="1291" width="10.140625" style="65" customWidth="1"/>
    <col min="1292" max="1292" width="8.42578125" style="65" customWidth="1"/>
    <col min="1293" max="1293" width="18.85546875" style="65" customWidth="1"/>
    <col min="1294" max="1294" width="10.28515625" style="65" customWidth="1"/>
    <col min="1295" max="1295" width="11.42578125" style="65"/>
    <col min="1296" max="1296" width="12.140625" style="65" customWidth="1"/>
    <col min="1297" max="1297" width="10.5703125" style="65" customWidth="1"/>
    <col min="1298" max="1298" width="12.42578125" style="65" customWidth="1"/>
    <col min="1299" max="1299" width="15.140625" style="65" customWidth="1"/>
    <col min="1300" max="1300" width="13.5703125" style="65" customWidth="1"/>
    <col min="1301" max="1301" width="13.140625" style="65" customWidth="1"/>
    <col min="1302" max="1302" width="15.7109375" style="65" customWidth="1"/>
    <col min="1303" max="1303" width="37.5703125" style="65" customWidth="1"/>
    <col min="1304" max="1525" width="11.42578125" style="65"/>
    <col min="1526" max="1526" width="10.5703125" style="65" customWidth="1"/>
    <col min="1527" max="1527" width="4.85546875" style="65" customWidth="1"/>
    <col min="1528" max="1528" width="32.42578125" style="65" customWidth="1"/>
    <col min="1529" max="1529" width="9.85546875" style="65" customWidth="1"/>
    <col min="1530" max="1530" width="10.140625" style="65" customWidth="1"/>
    <col min="1531" max="1531" width="12.28515625" style="65" customWidth="1"/>
    <col min="1532" max="1532" width="15.42578125" style="65" customWidth="1"/>
    <col min="1533" max="1533" width="11.85546875" style="65" customWidth="1"/>
    <col min="1534" max="1534" width="13.28515625" style="65" customWidth="1"/>
    <col min="1535" max="1535" width="15.28515625" style="65" customWidth="1"/>
    <col min="1536" max="1536" width="11.85546875" style="65" customWidth="1"/>
    <col min="1537" max="1537" width="6.140625" style="65" customWidth="1"/>
    <col min="1538" max="1538" width="11.85546875" style="65" customWidth="1"/>
    <col min="1539" max="1539" width="9.42578125" style="65" customWidth="1"/>
    <col min="1540" max="1540" width="14.7109375" style="65" customWidth="1"/>
    <col min="1541" max="1541" width="11.5703125" style="65" customWidth="1"/>
    <col min="1542" max="1542" width="0.42578125" style="65" customWidth="1"/>
    <col min="1543" max="1543" width="10.5703125" style="65" bestFit="1" customWidth="1"/>
    <col min="1544" max="1544" width="12.28515625" style="65" customWidth="1"/>
    <col min="1545" max="1545" width="12.5703125" style="65" customWidth="1"/>
    <col min="1546" max="1546" width="10.5703125" style="65" customWidth="1"/>
    <col min="1547" max="1547" width="10.140625" style="65" customWidth="1"/>
    <col min="1548" max="1548" width="8.42578125" style="65" customWidth="1"/>
    <col min="1549" max="1549" width="18.85546875" style="65" customWidth="1"/>
    <col min="1550" max="1550" width="10.28515625" style="65" customWidth="1"/>
    <col min="1551" max="1551" width="11.42578125" style="65"/>
    <col min="1552" max="1552" width="12.140625" style="65" customWidth="1"/>
    <col min="1553" max="1553" width="10.5703125" style="65" customWidth="1"/>
    <col min="1554" max="1554" width="12.42578125" style="65" customWidth="1"/>
    <col min="1555" max="1555" width="15.140625" style="65" customWidth="1"/>
    <col min="1556" max="1556" width="13.5703125" style="65" customWidth="1"/>
    <col min="1557" max="1557" width="13.140625" style="65" customWidth="1"/>
    <col min="1558" max="1558" width="15.7109375" style="65" customWidth="1"/>
    <col min="1559" max="1559" width="37.5703125" style="65" customWidth="1"/>
    <col min="1560" max="1781" width="11.42578125" style="65"/>
    <col min="1782" max="1782" width="10.5703125" style="65" customWidth="1"/>
    <col min="1783" max="1783" width="4.85546875" style="65" customWidth="1"/>
    <col min="1784" max="1784" width="32.42578125" style="65" customWidth="1"/>
    <col min="1785" max="1785" width="9.85546875" style="65" customWidth="1"/>
    <col min="1786" max="1786" width="10.140625" style="65" customWidth="1"/>
    <col min="1787" max="1787" width="12.28515625" style="65" customWidth="1"/>
    <col min="1788" max="1788" width="15.42578125" style="65" customWidth="1"/>
    <col min="1789" max="1789" width="11.85546875" style="65" customWidth="1"/>
    <col min="1790" max="1790" width="13.28515625" style="65" customWidth="1"/>
    <col min="1791" max="1791" width="15.28515625" style="65" customWidth="1"/>
    <col min="1792" max="1792" width="11.85546875" style="65" customWidth="1"/>
    <col min="1793" max="1793" width="6.140625" style="65" customWidth="1"/>
    <col min="1794" max="1794" width="11.85546875" style="65" customWidth="1"/>
    <col min="1795" max="1795" width="9.42578125" style="65" customWidth="1"/>
    <col min="1796" max="1796" width="14.7109375" style="65" customWidth="1"/>
    <col min="1797" max="1797" width="11.5703125" style="65" customWidth="1"/>
    <col min="1798" max="1798" width="0.42578125" style="65" customWidth="1"/>
    <col min="1799" max="1799" width="10.5703125" style="65" bestFit="1" customWidth="1"/>
    <col min="1800" max="1800" width="12.28515625" style="65" customWidth="1"/>
    <col min="1801" max="1801" width="12.5703125" style="65" customWidth="1"/>
    <col min="1802" max="1802" width="10.5703125" style="65" customWidth="1"/>
    <col min="1803" max="1803" width="10.140625" style="65" customWidth="1"/>
    <col min="1804" max="1804" width="8.42578125" style="65" customWidth="1"/>
    <col min="1805" max="1805" width="18.85546875" style="65" customWidth="1"/>
    <col min="1806" max="1806" width="10.28515625" style="65" customWidth="1"/>
    <col min="1807" max="1807" width="11.42578125" style="65"/>
    <col min="1808" max="1808" width="12.140625" style="65" customWidth="1"/>
    <col min="1809" max="1809" width="10.5703125" style="65" customWidth="1"/>
    <col min="1810" max="1810" width="12.42578125" style="65" customWidth="1"/>
    <col min="1811" max="1811" width="15.140625" style="65" customWidth="1"/>
    <col min="1812" max="1812" width="13.5703125" style="65" customWidth="1"/>
    <col min="1813" max="1813" width="13.140625" style="65" customWidth="1"/>
    <col min="1814" max="1814" width="15.7109375" style="65" customWidth="1"/>
    <col min="1815" max="1815" width="37.5703125" style="65" customWidth="1"/>
    <col min="1816" max="2037" width="11.42578125" style="65"/>
    <col min="2038" max="2038" width="10.5703125" style="65" customWidth="1"/>
    <col min="2039" max="2039" width="4.85546875" style="65" customWidth="1"/>
    <col min="2040" max="2040" width="32.42578125" style="65" customWidth="1"/>
    <col min="2041" max="2041" width="9.85546875" style="65" customWidth="1"/>
    <col min="2042" max="2042" width="10.140625" style="65" customWidth="1"/>
    <col min="2043" max="2043" width="12.28515625" style="65" customWidth="1"/>
    <col min="2044" max="2044" width="15.42578125" style="65" customWidth="1"/>
    <col min="2045" max="2045" width="11.85546875" style="65" customWidth="1"/>
    <col min="2046" max="2046" width="13.28515625" style="65" customWidth="1"/>
    <col min="2047" max="2047" width="15.28515625" style="65" customWidth="1"/>
    <col min="2048" max="2048" width="11.85546875" style="65" customWidth="1"/>
    <col min="2049" max="2049" width="6.140625" style="65" customWidth="1"/>
    <col min="2050" max="2050" width="11.85546875" style="65" customWidth="1"/>
    <col min="2051" max="2051" width="9.42578125" style="65" customWidth="1"/>
    <col min="2052" max="2052" width="14.7109375" style="65" customWidth="1"/>
    <col min="2053" max="2053" width="11.5703125" style="65" customWidth="1"/>
    <col min="2054" max="2054" width="0.42578125" style="65" customWidth="1"/>
    <col min="2055" max="2055" width="10.5703125" style="65" bestFit="1" customWidth="1"/>
    <col min="2056" max="2056" width="12.28515625" style="65" customWidth="1"/>
    <col min="2057" max="2057" width="12.5703125" style="65" customWidth="1"/>
    <col min="2058" max="2058" width="10.5703125" style="65" customWidth="1"/>
    <col min="2059" max="2059" width="10.140625" style="65" customWidth="1"/>
    <col min="2060" max="2060" width="8.42578125" style="65" customWidth="1"/>
    <col min="2061" max="2061" width="18.85546875" style="65" customWidth="1"/>
    <col min="2062" max="2062" width="10.28515625" style="65" customWidth="1"/>
    <col min="2063" max="2063" width="11.42578125" style="65"/>
    <col min="2064" max="2064" width="12.140625" style="65" customWidth="1"/>
    <col min="2065" max="2065" width="10.5703125" style="65" customWidth="1"/>
    <col min="2066" max="2066" width="12.42578125" style="65" customWidth="1"/>
    <col min="2067" max="2067" width="15.140625" style="65" customWidth="1"/>
    <col min="2068" max="2068" width="13.5703125" style="65" customWidth="1"/>
    <col min="2069" max="2069" width="13.140625" style="65" customWidth="1"/>
    <col min="2070" max="2070" width="15.7109375" style="65" customWidth="1"/>
    <col min="2071" max="2071" width="37.5703125" style="65" customWidth="1"/>
    <col min="2072" max="2293" width="11.42578125" style="65"/>
    <col min="2294" max="2294" width="10.5703125" style="65" customWidth="1"/>
    <col min="2295" max="2295" width="4.85546875" style="65" customWidth="1"/>
    <col min="2296" max="2296" width="32.42578125" style="65" customWidth="1"/>
    <col min="2297" max="2297" width="9.85546875" style="65" customWidth="1"/>
    <col min="2298" max="2298" width="10.140625" style="65" customWidth="1"/>
    <col min="2299" max="2299" width="12.28515625" style="65" customWidth="1"/>
    <col min="2300" max="2300" width="15.42578125" style="65" customWidth="1"/>
    <col min="2301" max="2301" width="11.85546875" style="65" customWidth="1"/>
    <col min="2302" max="2302" width="13.28515625" style="65" customWidth="1"/>
    <col min="2303" max="2303" width="15.28515625" style="65" customWidth="1"/>
    <col min="2304" max="2304" width="11.85546875" style="65" customWidth="1"/>
    <col min="2305" max="2305" width="6.140625" style="65" customWidth="1"/>
    <col min="2306" max="2306" width="11.85546875" style="65" customWidth="1"/>
    <col min="2307" max="2307" width="9.42578125" style="65" customWidth="1"/>
    <col min="2308" max="2308" width="14.7109375" style="65" customWidth="1"/>
    <col min="2309" max="2309" width="11.5703125" style="65" customWidth="1"/>
    <col min="2310" max="2310" width="0.42578125" style="65" customWidth="1"/>
    <col min="2311" max="2311" width="10.5703125" style="65" bestFit="1" customWidth="1"/>
    <col min="2312" max="2312" width="12.28515625" style="65" customWidth="1"/>
    <col min="2313" max="2313" width="12.5703125" style="65" customWidth="1"/>
    <col min="2314" max="2314" width="10.5703125" style="65" customWidth="1"/>
    <col min="2315" max="2315" width="10.140625" style="65" customWidth="1"/>
    <col min="2316" max="2316" width="8.42578125" style="65" customWidth="1"/>
    <col min="2317" max="2317" width="18.85546875" style="65" customWidth="1"/>
    <col min="2318" max="2318" width="10.28515625" style="65" customWidth="1"/>
    <col min="2319" max="2319" width="11.42578125" style="65"/>
    <col min="2320" max="2320" width="12.140625" style="65" customWidth="1"/>
    <col min="2321" max="2321" width="10.5703125" style="65" customWidth="1"/>
    <col min="2322" max="2322" width="12.42578125" style="65" customWidth="1"/>
    <col min="2323" max="2323" width="15.140625" style="65" customWidth="1"/>
    <col min="2324" max="2324" width="13.5703125" style="65" customWidth="1"/>
    <col min="2325" max="2325" width="13.140625" style="65" customWidth="1"/>
    <col min="2326" max="2326" width="15.7109375" style="65" customWidth="1"/>
    <col min="2327" max="2327" width="37.5703125" style="65" customWidth="1"/>
    <col min="2328" max="2549" width="11.42578125" style="65"/>
    <col min="2550" max="2550" width="10.5703125" style="65" customWidth="1"/>
    <col min="2551" max="2551" width="4.85546875" style="65" customWidth="1"/>
    <col min="2552" max="2552" width="32.42578125" style="65" customWidth="1"/>
    <col min="2553" max="2553" width="9.85546875" style="65" customWidth="1"/>
    <col min="2554" max="2554" width="10.140625" style="65" customWidth="1"/>
    <col min="2555" max="2555" width="12.28515625" style="65" customWidth="1"/>
    <col min="2556" max="2556" width="15.42578125" style="65" customWidth="1"/>
    <col min="2557" max="2557" width="11.85546875" style="65" customWidth="1"/>
    <col min="2558" max="2558" width="13.28515625" style="65" customWidth="1"/>
    <col min="2559" max="2559" width="15.28515625" style="65" customWidth="1"/>
    <col min="2560" max="2560" width="11.85546875" style="65" customWidth="1"/>
    <col min="2561" max="2561" width="6.140625" style="65" customWidth="1"/>
    <col min="2562" max="2562" width="11.85546875" style="65" customWidth="1"/>
    <col min="2563" max="2563" width="9.42578125" style="65" customWidth="1"/>
    <col min="2564" max="2564" width="14.7109375" style="65" customWidth="1"/>
    <col min="2565" max="2565" width="11.5703125" style="65" customWidth="1"/>
    <col min="2566" max="2566" width="0.42578125" style="65" customWidth="1"/>
    <col min="2567" max="2567" width="10.5703125" style="65" bestFit="1" customWidth="1"/>
    <col min="2568" max="2568" width="12.28515625" style="65" customWidth="1"/>
    <col min="2569" max="2569" width="12.5703125" style="65" customWidth="1"/>
    <col min="2570" max="2570" width="10.5703125" style="65" customWidth="1"/>
    <col min="2571" max="2571" width="10.140625" style="65" customWidth="1"/>
    <col min="2572" max="2572" width="8.42578125" style="65" customWidth="1"/>
    <col min="2573" max="2573" width="18.85546875" style="65" customWidth="1"/>
    <col min="2574" max="2574" width="10.28515625" style="65" customWidth="1"/>
    <col min="2575" max="2575" width="11.42578125" style="65"/>
    <col min="2576" max="2576" width="12.140625" style="65" customWidth="1"/>
    <col min="2577" max="2577" width="10.5703125" style="65" customWidth="1"/>
    <col min="2578" max="2578" width="12.42578125" style="65" customWidth="1"/>
    <col min="2579" max="2579" width="15.140625" style="65" customWidth="1"/>
    <col min="2580" max="2580" width="13.5703125" style="65" customWidth="1"/>
    <col min="2581" max="2581" width="13.140625" style="65" customWidth="1"/>
    <col min="2582" max="2582" width="15.7109375" style="65" customWidth="1"/>
    <col min="2583" max="2583" width="37.5703125" style="65" customWidth="1"/>
    <col min="2584" max="2805" width="11.42578125" style="65"/>
    <col min="2806" max="2806" width="10.5703125" style="65" customWidth="1"/>
    <col min="2807" max="2807" width="4.85546875" style="65" customWidth="1"/>
    <col min="2808" max="2808" width="32.42578125" style="65" customWidth="1"/>
    <col min="2809" max="2809" width="9.85546875" style="65" customWidth="1"/>
    <col min="2810" max="2810" width="10.140625" style="65" customWidth="1"/>
    <col min="2811" max="2811" width="12.28515625" style="65" customWidth="1"/>
    <col min="2812" max="2812" width="15.42578125" style="65" customWidth="1"/>
    <col min="2813" max="2813" width="11.85546875" style="65" customWidth="1"/>
    <col min="2814" max="2814" width="13.28515625" style="65" customWidth="1"/>
    <col min="2815" max="2815" width="15.28515625" style="65" customWidth="1"/>
    <col min="2816" max="2816" width="11.85546875" style="65" customWidth="1"/>
    <col min="2817" max="2817" width="6.140625" style="65" customWidth="1"/>
    <col min="2818" max="2818" width="11.85546875" style="65" customWidth="1"/>
    <col min="2819" max="2819" width="9.42578125" style="65" customWidth="1"/>
    <col min="2820" max="2820" width="14.7109375" style="65" customWidth="1"/>
    <col min="2821" max="2821" width="11.5703125" style="65" customWidth="1"/>
    <col min="2822" max="2822" width="0.42578125" style="65" customWidth="1"/>
    <col min="2823" max="2823" width="10.5703125" style="65" bestFit="1" customWidth="1"/>
    <col min="2824" max="2824" width="12.28515625" style="65" customWidth="1"/>
    <col min="2825" max="2825" width="12.5703125" style="65" customWidth="1"/>
    <col min="2826" max="2826" width="10.5703125" style="65" customWidth="1"/>
    <col min="2827" max="2827" width="10.140625" style="65" customWidth="1"/>
    <col min="2828" max="2828" width="8.42578125" style="65" customWidth="1"/>
    <col min="2829" max="2829" width="18.85546875" style="65" customWidth="1"/>
    <col min="2830" max="2830" width="10.28515625" style="65" customWidth="1"/>
    <col min="2831" max="2831" width="11.42578125" style="65"/>
    <col min="2832" max="2832" width="12.140625" style="65" customWidth="1"/>
    <col min="2833" max="2833" width="10.5703125" style="65" customWidth="1"/>
    <col min="2834" max="2834" width="12.42578125" style="65" customWidth="1"/>
    <col min="2835" max="2835" width="15.140625" style="65" customWidth="1"/>
    <col min="2836" max="2836" width="13.5703125" style="65" customWidth="1"/>
    <col min="2837" max="2837" width="13.140625" style="65" customWidth="1"/>
    <col min="2838" max="2838" width="15.7109375" style="65" customWidth="1"/>
    <col min="2839" max="2839" width="37.5703125" style="65" customWidth="1"/>
    <col min="2840" max="3061" width="11.42578125" style="65"/>
    <col min="3062" max="3062" width="10.5703125" style="65" customWidth="1"/>
    <col min="3063" max="3063" width="4.85546875" style="65" customWidth="1"/>
    <col min="3064" max="3064" width="32.42578125" style="65" customWidth="1"/>
    <col min="3065" max="3065" width="9.85546875" style="65" customWidth="1"/>
    <col min="3066" max="3066" width="10.140625" style="65" customWidth="1"/>
    <col min="3067" max="3067" width="12.28515625" style="65" customWidth="1"/>
    <col min="3068" max="3068" width="15.42578125" style="65" customWidth="1"/>
    <col min="3069" max="3069" width="11.85546875" style="65" customWidth="1"/>
    <col min="3070" max="3070" width="13.28515625" style="65" customWidth="1"/>
    <col min="3071" max="3071" width="15.28515625" style="65" customWidth="1"/>
    <col min="3072" max="3072" width="11.85546875" style="65" customWidth="1"/>
    <col min="3073" max="3073" width="6.140625" style="65" customWidth="1"/>
    <col min="3074" max="3074" width="11.85546875" style="65" customWidth="1"/>
    <col min="3075" max="3075" width="9.42578125" style="65" customWidth="1"/>
    <col min="3076" max="3076" width="14.7109375" style="65" customWidth="1"/>
    <col min="3077" max="3077" width="11.5703125" style="65" customWidth="1"/>
    <col min="3078" max="3078" width="0.42578125" style="65" customWidth="1"/>
    <col min="3079" max="3079" width="10.5703125" style="65" bestFit="1" customWidth="1"/>
    <col min="3080" max="3080" width="12.28515625" style="65" customWidth="1"/>
    <col min="3081" max="3081" width="12.5703125" style="65" customWidth="1"/>
    <col min="3082" max="3082" width="10.5703125" style="65" customWidth="1"/>
    <col min="3083" max="3083" width="10.140625" style="65" customWidth="1"/>
    <col min="3084" max="3084" width="8.42578125" style="65" customWidth="1"/>
    <col min="3085" max="3085" width="18.85546875" style="65" customWidth="1"/>
    <col min="3086" max="3086" width="10.28515625" style="65" customWidth="1"/>
    <col min="3087" max="3087" width="11.42578125" style="65"/>
    <col min="3088" max="3088" width="12.140625" style="65" customWidth="1"/>
    <col min="3089" max="3089" width="10.5703125" style="65" customWidth="1"/>
    <col min="3090" max="3090" width="12.42578125" style="65" customWidth="1"/>
    <col min="3091" max="3091" width="15.140625" style="65" customWidth="1"/>
    <col min="3092" max="3092" width="13.5703125" style="65" customWidth="1"/>
    <col min="3093" max="3093" width="13.140625" style="65" customWidth="1"/>
    <col min="3094" max="3094" width="15.7109375" style="65" customWidth="1"/>
    <col min="3095" max="3095" width="37.5703125" style="65" customWidth="1"/>
    <col min="3096" max="3317" width="11.42578125" style="65"/>
    <col min="3318" max="3318" width="10.5703125" style="65" customWidth="1"/>
    <col min="3319" max="3319" width="4.85546875" style="65" customWidth="1"/>
    <col min="3320" max="3320" width="32.42578125" style="65" customWidth="1"/>
    <col min="3321" max="3321" width="9.85546875" style="65" customWidth="1"/>
    <col min="3322" max="3322" width="10.140625" style="65" customWidth="1"/>
    <col min="3323" max="3323" width="12.28515625" style="65" customWidth="1"/>
    <col min="3324" max="3324" width="15.42578125" style="65" customWidth="1"/>
    <col min="3325" max="3325" width="11.85546875" style="65" customWidth="1"/>
    <col min="3326" max="3326" width="13.28515625" style="65" customWidth="1"/>
    <col min="3327" max="3327" width="15.28515625" style="65" customWidth="1"/>
    <col min="3328" max="3328" width="11.85546875" style="65" customWidth="1"/>
    <col min="3329" max="3329" width="6.140625" style="65" customWidth="1"/>
    <col min="3330" max="3330" width="11.85546875" style="65" customWidth="1"/>
    <col min="3331" max="3331" width="9.42578125" style="65" customWidth="1"/>
    <col min="3332" max="3332" width="14.7109375" style="65" customWidth="1"/>
    <col min="3333" max="3333" width="11.5703125" style="65" customWidth="1"/>
    <col min="3334" max="3334" width="0.42578125" style="65" customWidth="1"/>
    <col min="3335" max="3335" width="10.5703125" style="65" bestFit="1" customWidth="1"/>
    <col min="3336" max="3336" width="12.28515625" style="65" customWidth="1"/>
    <col min="3337" max="3337" width="12.5703125" style="65" customWidth="1"/>
    <col min="3338" max="3338" width="10.5703125" style="65" customWidth="1"/>
    <col min="3339" max="3339" width="10.140625" style="65" customWidth="1"/>
    <col min="3340" max="3340" width="8.42578125" style="65" customWidth="1"/>
    <col min="3341" max="3341" width="18.85546875" style="65" customWidth="1"/>
    <col min="3342" max="3342" width="10.28515625" style="65" customWidth="1"/>
    <col min="3343" max="3343" width="11.42578125" style="65"/>
    <col min="3344" max="3344" width="12.140625" style="65" customWidth="1"/>
    <col min="3345" max="3345" width="10.5703125" style="65" customWidth="1"/>
    <col min="3346" max="3346" width="12.42578125" style="65" customWidth="1"/>
    <col min="3347" max="3347" width="15.140625" style="65" customWidth="1"/>
    <col min="3348" max="3348" width="13.5703125" style="65" customWidth="1"/>
    <col min="3349" max="3349" width="13.140625" style="65" customWidth="1"/>
    <col min="3350" max="3350" width="15.7109375" style="65" customWidth="1"/>
    <col min="3351" max="3351" width="37.5703125" style="65" customWidth="1"/>
    <col min="3352" max="3573" width="11.42578125" style="65"/>
    <col min="3574" max="3574" width="10.5703125" style="65" customWidth="1"/>
    <col min="3575" max="3575" width="4.85546875" style="65" customWidth="1"/>
    <col min="3576" max="3576" width="32.42578125" style="65" customWidth="1"/>
    <col min="3577" max="3577" width="9.85546875" style="65" customWidth="1"/>
    <col min="3578" max="3578" width="10.140625" style="65" customWidth="1"/>
    <col min="3579" max="3579" width="12.28515625" style="65" customWidth="1"/>
    <col min="3580" max="3580" width="15.42578125" style="65" customWidth="1"/>
    <col min="3581" max="3581" width="11.85546875" style="65" customWidth="1"/>
    <col min="3582" max="3582" width="13.28515625" style="65" customWidth="1"/>
    <col min="3583" max="3583" width="15.28515625" style="65" customWidth="1"/>
    <col min="3584" max="3584" width="11.85546875" style="65" customWidth="1"/>
    <col min="3585" max="3585" width="6.140625" style="65" customWidth="1"/>
    <col min="3586" max="3586" width="11.85546875" style="65" customWidth="1"/>
    <col min="3587" max="3587" width="9.42578125" style="65" customWidth="1"/>
    <col min="3588" max="3588" width="14.7109375" style="65" customWidth="1"/>
    <col min="3589" max="3589" width="11.5703125" style="65" customWidth="1"/>
    <col min="3590" max="3590" width="0.42578125" style="65" customWidth="1"/>
    <col min="3591" max="3591" width="10.5703125" style="65" bestFit="1" customWidth="1"/>
    <col min="3592" max="3592" width="12.28515625" style="65" customWidth="1"/>
    <col min="3593" max="3593" width="12.5703125" style="65" customWidth="1"/>
    <col min="3594" max="3594" width="10.5703125" style="65" customWidth="1"/>
    <col min="3595" max="3595" width="10.140625" style="65" customWidth="1"/>
    <col min="3596" max="3596" width="8.42578125" style="65" customWidth="1"/>
    <col min="3597" max="3597" width="18.85546875" style="65" customWidth="1"/>
    <col min="3598" max="3598" width="10.28515625" style="65" customWidth="1"/>
    <col min="3599" max="3599" width="11.42578125" style="65"/>
    <col min="3600" max="3600" width="12.140625" style="65" customWidth="1"/>
    <col min="3601" max="3601" width="10.5703125" style="65" customWidth="1"/>
    <col min="3602" max="3602" width="12.42578125" style="65" customWidth="1"/>
    <col min="3603" max="3603" width="15.140625" style="65" customWidth="1"/>
    <col min="3604" max="3604" width="13.5703125" style="65" customWidth="1"/>
    <col min="3605" max="3605" width="13.140625" style="65" customWidth="1"/>
    <col min="3606" max="3606" width="15.7109375" style="65" customWidth="1"/>
    <col min="3607" max="3607" width="37.5703125" style="65" customWidth="1"/>
    <col min="3608" max="3829" width="11.42578125" style="65"/>
    <col min="3830" max="3830" width="10.5703125" style="65" customWidth="1"/>
    <col min="3831" max="3831" width="4.85546875" style="65" customWidth="1"/>
    <col min="3832" max="3832" width="32.42578125" style="65" customWidth="1"/>
    <col min="3833" max="3833" width="9.85546875" style="65" customWidth="1"/>
    <col min="3834" max="3834" width="10.140625" style="65" customWidth="1"/>
    <col min="3835" max="3835" width="12.28515625" style="65" customWidth="1"/>
    <col min="3836" max="3836" width="15.42578125" style="65" customWidth="1"/>
    <col min="3837" max="3837" width="11.85546875" style="65" customWidth="1"/>
    <col min="3838" max="3838" width="13.28515625" style="65" customWidth="1"/>
    <col min="3839" max="3839" width="15.28515625" style="65" customWidth="1"/>
    <col min="3840" max="3840" width="11.85546875" style="65" customWidth="1"/>
    <col min="3841" max="3841" width="6.140625" style="65" customWidth="1"/>
    <col min="3842" max="3842" width="11.85546875" style="65" customWidth="1"/>
    <col min="3843" max="3843" width="9.42578125" style="65" customWidth="1"/>
    <col min="3844" max="3844" width="14.7109375" style="65" customWidth="1"/>
    <col min="3845" max="3845" width="11.5703125" style="65" customWidth="1"/>
    <col min="3846" max="3846" width="0.42578125" style="65" customWidth="1"/>
    <col min="3847" max="3847" width="10.5703125" style="65" bestFit="1" customWidth="1"/>
    <col min="3848" max="3848" width="12.28515625" style="65" customWidth="1"/>
    <col min="3849" max="3849" width="12.5703125" style="65" customWidth="1"/>
    <col min="3850" max="3850" width="10.5703125" style="65" customWidth="1"/>
    <col min="3851" max="3851" width="10.140625" style="65" customWidth="1"/>
    <col min="3852" max="3852" width="8.42578125" style="65" customWidth="1"/>
    <col min="3853" max="3853" width="18.85546875" style="65" customWidth="1"/>
    <col min="3854" max="3854" width="10.28515625" style="65" customWidth="1"/>
    <col min="3855" max="3855" width="11.42578125" style="65"/>
    <col min="3856" max="3856" width="12.140625" style="65" customWidth="1"/>
    <col min="3857" max="3857" width="10.5703125" style="65" customWidth="1"/>
    <col min="3858" max="3858" width="12.42578125" style="65" customWidth="1"/>
    <col min="3859" max="3859" width="15.140625" style="65" customWidth="1"/>
    <col min="3860" max="3860" width="13.5703125" style="65" customWidth="1"/>
    <col min="3861" max="3861" width="13.140625" style="65" customWidth="1"/>
    <col min="3862" max="3862" width="15.7109375" style="65" customWidth="1"/>
    <col min="3863" max="3863" width="37.5703125" style="65" customWidth="1"/>
    <col min="3864" max="4085" width="11.42578125" style="65"/>
    <col min="4086" max="4086" width="10.5703125" style="65" customWidth="1"/>
    <col min="4087" max="4087" width="4.85546875" style="65" customWidth="1"/>
    <col min="4088" max="4088" width="32.42578125" style="65" customWidth="1"/>
    <col min="4089" max="4089" width="9.85546875" style="65" customWidth="1"/>
    <col min="4090" max="4090" width="10.140625" style="65" customWidth="1"/>
    <col min="4091" max="4091" width="12.28515625" style="65" customWidth="1"/>
    <col min="4092" max="4092" width="15.42578125" style="65" customWidth="1"/>
    <col min="4093" max="4093" width="11.85546875" style="65" customWidth="1"/>
    <col min="4094" max="4094" width="13.28515625" style="65" customWidth="1"/>
    <col min="4095" max="4095" width="15.28515625" style="65" customWidth="1"/>
    <col min="4096" max="4096" width="11.85546875" style="65" customWidth="1"/>
    <col min="4097" max="4097" width="6.140625" style="65" customWidth="1"/>
    <col min="4098" max="4098" width="11.85546875" style="65" customWidth="1"/>
    <col min="4099" max="4099" width="9.42578125" style="65" customWidth="1"/>
    <col min="4100" max="4100" width="14.7109375" style="65" customWidth="1"/>
    <col min="4101" max="4101" width="11.5703125" style="65" customWidth="1"/>
    <col min="4102" max="4102" width="0.42578125" style="65" customWidth="1"/>
    <col min="4103" max="4103" width="10.5703125" style="65" bestFit="1" customWidth="1"/>
    <col min="4104" max="4104" width="12.28515625" style="65" customWidth="1"/>
    <col min="4105" max="4105" width="12.5703125" style="65" customWidth="1"/>
    <col min="4106" max="4106" width="10.5703125" style="65" customWidth="1"/>
    <col min="4107" max="4107" width="10.140625" style="65" customWidth="1"/>
    <col min="4108" max="4108" width="8.42578125" style="65" customWidth="1"/>
    <col min="4109" max="4109" width="18.85546875" style="65" customWidth="1"/>
    <col min="4110" max="4110" width="10.28515625" style="65" customWidth="1"/>
    <col min="4111" max="4111" width="11.42578125" style="65"/>
    <col min="4112" max="4112" width="12.140625" style="65" customWidth="1"/>
    <col min="4113" max="4113" width="10.5703125" style="65" customWidth="1"/>
    <col min="4114" max="4114" width="12.42578125" style="65" customWidth="1"/>
    <col min="4115" max="4115" width="15.140625" style="65" customWidth="1"/>
    <col min="4116" max="4116" width="13.5703125" style="65" customWidth="1"/>
    <col min="4117" max="4117" width="13.140625" style="65" customWidth="1"/>
    <col min="4118" max="4118" width="15.7109375" style="65" customWidth="1"/>
    <col min="4119" max="4119" width="37.5703125" style="65" customWidth="1"/>
    <col min="4120" max="4341" width="11.42578125" style="65"/>
    <col min="4342" max="4342" width="10.5703125" style="65" customWidth="1"/>
    <col min="4343" max="4343" width="4.85546875" style="65" customWidth="1"/>
    <col min="4344" max="4344" width="32.42578125" style="65" customWidth="1"/>
    <col min="4345" max="4345" width="9.85546875" style="65" customWidth="1"/>
    <col min="4346" max="4346" width="10.140625" style="65" customWidth="1"/>
    <col min="4347" max="4347" width="12.28515625" style="65" customWidth="1"/>
    <col min="4348" max="4348" width="15.42578125" style="65" customWidth="1"/>
    <col min="4349" max="4349" width="11.85546875" style="65" customWidth="1"/>
    <col min="4350" max="4350" width="13.28515625" style="65" customWidth="1"/>
    <col min="4351" max="4351" width="15.28515625" style="65" customWidth="1"/>
    <col min="4352" max="4352" width="11.85546875" style="65" customWidth="1"/>
    <col min="4353" max="4353" width="6.140625" style="65" customWidth="1"/>
    <col min="4354" max="4354" width="11.85546875" style="65" customWidth="1"/>
    <col min="4355" max="4355" width="9.42578125" style="65" customWidth="1"/>
    <col min="4356" max="4356" width="14.7109375" style="65" customWidth="1"/>
    <col min="4357" max="4357" width="11.5703125" style="65" customWidth="1"/>
    <col min="4358" max="4358" width="0.42578125" style="65" customWidth="1"/>
    <col min="4359" max="4359" width="10.5703125" style="65" bestFit="1" customWidth="1"/>
    <col min="4360" max="4360" width="12.28515625" style="65" customWidth="1"/>
    <col min="4361" max="4361" width="12.5703125" style="65" customWidth="1"/>
    <col min="4362" max="4362" width="10.5703125" style="65" customWidth="1"/>
    <col min="4363" max="4363" width="10.140625" style="65" customWidth="1"/>
    <col min="4364" max="4364" width="8.42578125" style="65" customWidth="1"/>
    <col min="4365" max="4365" width="18.85546875" style="65" customWidth="1"/>
    <col min="4366" max="4366" width="10.28515625" style="65" customWidth="1"/>
    <col min="4367" max="4367" width="11.42578125" style="65"/>
    <col min="4368" max="4368" width="12.140625" style="65" customWidth="1"/>
    <col min="4369" max="4369" width="10.5703125" style="65" customWidth="1"/>
    <col min="4370" max="4370" width="12.42578125" style="65" customWidth="1"/>
    <col min="4371" max="4371" width="15.140625" style="65" customWidth="1"/>
    <col min="4372" max="4372" width="13.5703125" style="65" customWidth="1"/>
    <col min="4373" max="4373" width="13.140625" style="65" customWidth="1"/>
    <col min="4374" max="4374" width="15.7109375" style="65" customWidth="1"/>
    <col min="4375" max="4375" width="37.5703125" style="65" customWidth="1"/>
    <col min="4376" max="4597" width="11.42578125" style="65"/>
    <col min="4598" max="4598" width="10.5703125" style="65" customWidth="1"/>
    <col min="4599" max="4599" width="4.85546875" style="65" customWidth="1"/>
    <col min="4600" max="4600" width="32.42578125" style="65" customWidth="1"/>
    <col min="4601" max="4601" width="9.85546875" style="65" customWidth="1"/>
    <col min="4602" max="4602" width="10.140625" style="65" customWidth="1"/>
    <col min="4603" max="4603" width="12.28515625" style="65" customWidth="1"/>
    <col min="4604" max="4604" width="15.42578125" style="65" customWidth="1"/>
    <col min="4605" max="4605" width="11.85546875" style="65" customWidth="1"/>
    <col min="4606" max="4606" width="13.28515625" style="65" customWidth="1"/>
    <col min="4607" max="4607" width="15.28515625" style="65" customWidth="1"/>
    <col min="4608" max="4608" width="11.85546875" style="65" customWidth="1"/>
    <col min="4609" max="4609" width="6.140625" style="65" customWidth="1"/>
    <col min="4610" max="4610" width="11.85546875" style="65" customWidth="1"/>
    <col min="4611" max="4611" width="9.42578125" style="65" customWidth="1"/>
    <col min="4612" max="4612" width="14.7109375" style="65" customWidth="1"/>
    <col min="4613" max="4613" width="11.5703125" style="65" customWidth="1"/>
    <col min="4614" max="4614" width="0.42578125" style="65" customWidth="1"/>
    <col min="4615" max="4615" width="10.5703125" style="65" bestFit="1" customWidth="1"/>
    <col min="4616" max="4616" width="12.28515625" style="65" customWidth="1"/>
    <col min="4617" max="4617" width="12.5703125" style="65" customWidth="1"/>
    <col min="4618" max="4618" width="10.5703125" style="65" customWidth="1"/>
    <col min="4619" max="4619" width="10.140625" style="65" customWidth="1"/>
    <col min="4620" max="4620" width="8.42578125" style="65" customWidth="1"/>
    <col min="4621" max="4621" width="18.85546875" style="65" customWidth="1"/>
    <col min="4622" max="4622" width="10.28515625" style="65" customWidth="1"/>
    <col min="4623" max="4623" width="11.42578125" style="65"/>
    <col min="4624" max="4624" width="12.140625" style="65" customWidth="1"/>
    <col min="4625" max="4625" width="10.5703125" style="65" customWidth="1"/>
    <col min="4626" max="4626" width="12.42578125" style="65" customWidth="1"/>
    <col min="4627" max="4627" width="15.140625" style="65" customWidth="1"/>
    <col min="4628" max="4628" width="13.5703125" style="65" customWidth="1"/>
    <col min="4629" max="4629" width="13.140625" style="65" customWidth="1"/>
    <col min="4630" max="4630" width="15.7109375" style="65" customWidth="1"/>
    <col min="4631" max="4631" width="37.5703125" style="65" customWidth="1"/>
    <col min="4632" max="4853" width="11.42578125" style="65"/>
    <col min="4854" max="4854" width="10.5703125" style="65" customWidth="1"/>
    <col min="4855" max="4855" width="4.85546875" style="65" customWidth="1"/>
    <col min="4856" max="4856" width="32.42578125" style="65" customWidth="1"/>
    <col min="4857" max="4857" width="9.85546875" style="65" customWidth="1"/>
    <col min="4858" max="4858" width="10.140625" style="65" customWidth="1"/>
    <col min="4859" max="4859" width="12.28515625" style="65" customWidth="1"/>
    <col min="4860" max="4860" width="15.42578125" style="65" customWidth="1"/>
    <col min="4861" max="4861" width="11.85546875" style="65" customWidth="1"/>
    <col min="4862" max="4862" width="13.28515625" style="65" customWidth="1"/>
    <col min="4863" max="4863" width="15.28515625" style="65" customWidth="1"/>
    <col min="4864" max="4864" width="11.85546875" style="65" customWidth="1"/>
    <col min="4865" max="4865" width="6.140625" style="65" customWidth="1"/>
    <col min="4866" max="4866" width="11.85546875" style="65" customWidth="1"/>
    <col min="4867" max="4867" width="9.42578125" style="65" customWidth="1"/>
    <col min="4868" max="4868" width="14.7109375" style="65" customWidth="1"/>
    <col min="4869" max="4869" width="11.5703125" style="65" customWidth="1"/>
    <col min="4870" max="4870" width="0.42578125" style="65" customWidth="1"/>
    <col min="4871" max="4871" width="10.5703125" style="65" bestFit="1" customWidth="1"/>
    <col min="4872" max="4872" width="12.28515625" style="65" customWidth="1"/>
    <col min="4873" max="4873" width="12.5703125" style="65" customWidth="1"/>
    <col min="4874" max="4874" width="10.5703125" style="65" customWidth="1"/>
    <col min="4875" max="4875" width="10.140625" style="65" customWidth="1"/>
    <col min="4876" max="4876" width="8.42578125" style="65" customWidth="1"/>
    <col min="4877" max="4877" width="18.85546875" style="65" customWidth="1"/>
    <col min="4878" max="4878" width="10.28515625" style="65" customWidth="1"/>
    <col min="4879" max="4879" width="11.42578125" style="65"/>
    <col min="4880" max="4880" width="12.140625" style="65" customWidth="1"/>
    <col min="4881" max="4881" width="10.5703125" style="65" customWidth="1"/>
    <col min="4882" max="4882" width="12.42578125" style="65" customWidth="1"/>
    <col min="4883" max="4883" width="15.140625" style="65" customWidth="1"/>
    <col min="4884" max="4884" width="13.5703125" style="65" customWidth="1"/>
    <col min="4885" max="4885" width="13.140625" style="65" customWidth="1"/>
    <col min="4886" max="4886" width="15.7109375" style="65" customWidth="1"/>
    <col min="4887" max="4887" width="37.5703125" style="65" customWidth="1"/>
    <col min="4888" max="5109" width="11.42578125" style="65"/>
    <col min="5110" max="5110" width="10.5703125" style="65" customWidth="1"/>
    <col min="5111" max="5111" width="4.85546875" style="65" customWidth="1"/>
    <col min="5112" max="5112" width="32.42578125" style="65" customWidth="1"/>
    <col min="5113" max="5113" width="9.85546875" style="65" customWidth="1"/>
    <col min="5114" max="5114" width="10.140625" style="65" customWidth="1"/>
    <col min="5115" max="5115" width="12.28515625" style="65" customWidth="1"/>
    <col min="5116" max="5116" width="15.42578125" style="65" customWidth="1"/>
    <col min="5117" max="5117" width="11.85546875" style="65" customWidth="1"/>
    <col min="5118" max="5118" width="13.28515625" style="65" customWidth="1"/>
    <col min="5119" max="5119" width="15.28515625" style="65" customWidth="1"/>
    <col min="5120" max="5120" width="11.85546875" style="65" customWidth="1"/>
    <col min="5121" max="5121" width="6.140625" style="65" customWidth="1"/>
    <col min="5122" max="5122" width="11.85546875" style="65" customWidth="1"/>
    <col min="5123" max="5123" width="9.42578125" style="65" customWidth="1"/>
    <col min="5124" max="5124" width="14.7109375" style="65" customWidth="1"/>
    <col min="5125" max="5125" width="11.5703125" style="65" customWidth="1"/>
    <col min="5126" max="5126" width="0.42578125" style="65" customWidth="1"/>
    <col min="5127" max="5127" width="10.5703125" style="65" bestFit="1" customWidth="1"/>
    <col min="5128" max="5128" width="12.28515625" style="65" customWidth="1"/>
    <col min="5129" max="5129" width="12.5703125" style="65" customWidth="1"/>
    <col min="5130" max="5130" width="10.5703125" style="65" customWidth="1"/>
    <col min="5131" max="5131" width="10.140625" style="65" customWidth="1"/>
    <col min="5132" max="5132" width="8.42578125" style="65" customWidth="1"/>
    <col min="5133" max="5133" width="18.85546875" style="65" customWidth="1"/>
    <col min="5134" max="5134" width="10.28515625" style="65" customWidth="1"/>
    <col min="5135" max="5135" width="11.42578125" style="65"/>
    <col min="5136" max="5136" width="12.140625" style="65" customWidth="1"/>
    <col min="5137" max="5137" width="10.5703125" style="65" customWidth="1"/>
    <col min="5138" max="5138" width="12.42578125" style="65" customWidth="1"/>
    <col min="5139" max="5139" width="15.140625" style="65" customWidth="1"/>
    <col min="5140" max="5140" width="13.5703125" style="65" customWidth="1"/>
    <col min="5141" max="5141" width="13.140625" style="65" customWidth="1"/>
    <col min="5142" max="5142" width="15.7109375" style="65" customWidth="1"/>
    <col min="5143" max="5143" width="37.5703125" style="65" customWidth="1"/>
    <col min="5144" max="5365" width="11.42578125" style="65"/>
    <col min="5366" max="5366" width="10.5703125" style="65" customWidth="1"/>
    <col min="5367" max="5367" width="4.85546875" style="65" customWidth="1"/>
    <col min="5368" max="5368" width="32.42578125" style="65" customWidth="1"/>
    <col min="5369" max="5369" width="9.85546875" style="65" customWidth="1"/>
    <col min="5370" max="5370" width="10.140625" style="65" customWidth="1"/>
    <col min="5371" max="5371" width="12.28515625" style="65" customWidth="1"/>
    <col min="5372" max="5372" width="15.42578125" style="65" customWidth="1"/>
    <col min="5373" max="5373" width="11.85546875" style="65" customWidth="1"/>
    <col min="5374" max="5374" width="13.28515625" style="65" customWidth="1"/>
    <col min="5375" max="5375" width="15.28515625" style="65" customWidth="1"/>
    <col min="5376" max="5376" width="11.85546875" style="65" customWidth="1"/>
    <col min="5377" max="5377" width="6.140625" style="65" customWidth="1"/>
    <col min="5378" max="5378" width="11.85546875" style="65" customWidth="1"/>
    <col min="5379" max="5379" width="9.42578125" style="65" customWidth="1"/>
    <col min="5380" max="5380" width="14.7109375" style="65" customWidth="1"/>
    <col min="5381" max="5381" width="11.5703125" style="65" customWidth="1"/>
    <col min="5382" max="5382" width="0.42578125" style="65" customWidth="1"/>
    <col min="5383" max="5383" width="10.5703125" style="65" bestFit="1" customWidth="1"/>
    <col min="5384" max="5384" width="12.28515625" style="65" customWidth="1"/>
    <col min="5385" max="5385" width="12.5703125" style="65" customWidth="1"/>
    <col min="5386" max="5386" width="10.5703125" style="65" customWidth="1"/>
    <col min="5387" max="5387" width="10.140625" style="65" customWidth="1"/>
    <col min="5388" max="5388" width="8.42578125" style="65" customWidth="1"/>
    <col min="5389" max="5389" width="18.85546875" style="65" customWidth="1"/>
    <col min="5390" max="5390" width="10.28515625" style="65" customWidth="1"/>
    <col min="5391" max="5391" width="11.42578125" style="65"/>
    <col min="5392" max="5392" width="12.140625" style="65" customWidth="1"/>
    <col min="5393" max="5393" width="10.5703125" style="65" customWidth="1"/>
    <col min="5394" max="5394" width="12.42578125" style="65" customWidth="1"/>
    <col min="5395" max="5395" width="15.140625" style="65" customWidth="1"/>
    <col min="5396" max="5396" width="13.5703125" style="65" customWidth="1"/>
    <col min="5397" max="5397" width="13.140625" style="65" customWidth="1"/>
    <col min="5398" max="5398" width="15.7109375" style="65" customWidth="1"/>
    <col min="5399" max="5399" width="37.5703125" style="65" customWidth="1"/>
    <col min="5400" max="5621" width="11.42578125" style="65"/>
    <col min="5622" max="5622" width="10.5703125" style="65" customWidth="1"/>
    <col min="5623" max="5623" width="4.85546875" style="65" customWidth="1"/>
    <col min="5624" max="5624" width="32.42578125" style="65" customWidth="1"/>
    <col min="5625" max="5625" width="9.85546875" style="65" customWidth="1"/>
    <col min="5626" max="5626" width="10.140625" style="65" customWidth="1"/>
    <col min="5627" max="5627" width="12.28515625" style="65" customWidth="1"/>
    <col min="5628" max="5628" width="15.42578125" style="65" customWidth="1"/>
    <col min="5629" max="5629" width="11.85546875" style="65" customWidth="1"/>
    <col min="5630" max="5630" width="13.28515625" style="65" customWidth="1"/>
    <col min="5631" max="5631" width="15.28515625" style="65" customWidth="1"/>
    <col min="5632" max="5632" width="11.85546875" style="65" customWidth="1"/>
    <col min="5633" max="5633" width="6.140625" style="65" customWidth="1"/>
    <col min="5634" max="5634" width="11.85546875" style="65" customWidth="1"/>
    <col min="5635" max="5635" width="9.42578125" style="65" customWidth="1"/>
    <col min="5636" max="5636" width="14.7109375" style="65" customWidth="1"/>
    <col min="5637" max="5637" width="11.5703125" style="65" customWidth="1"/>
    <col min="5638" max="5638" width="0.42578125" style="65" customWidth="1"/>
    <col min="5639" max="5639" width="10.5703125" style="65" bestFit="1" customWidth="1"/>
    <col min="5640" max="5640" width="12.28515625" style="65" customWidth="1"/>
    <col min="5641" max="5641" width="12.5703125" style="65" customWidth="1"/>
    <col min="5642" max="5642" width="10.5703125" style="65" customWidth="1"/>
    <col min="5643" max="5643" width="10.140625" style="65" customWidth="1"/>
    <col min="5644" max="5644" width="8.42578125" style="65" customWidth="1"/>
    <col min="5645" max="5645" width="18.85546875" style="65" customWidth="1"/>
    <col min="5646" max="5646" width="10.28515625" style="65" customWidth="1"/>
    <col min="5647" max="5647" width="11.42578125" style="65"/>
    <col min="5648" max="5648" width="12.140625" style="65" customWidth="1"/>
    <col min="5649" max="5649" width="10.5703125" style="65" customWidth="1"/>
    <col min="5650" max="5650" width="12.42578125" style="65" customWidth="1"/>
    <col min="5651" max="5651" width="15.140625" style="65" customWidth="1"/>
    <col min="5652" max="5652" width="13.5703125" style="65" customWidth="1"/>
    <col min="5653" max="5653" width="13.140625" style="65" customWidth="1"/>
    <col min="5654" max="5654" width="15.7109375" style="65" customWidth="1"/>
    <col min="5655" max="5655" width="37.5703125" style="65" customWidth="1"/>
    <col min="5656" max="5877" width="11.42578125" style="65"/>
    <col min="5878" max="5878" width="10.5703125" style="65" customWidth="1"/>
    <col min="5879" max="5879" width="4.85546875" style="65" customWidth="1"/>
    <col min="5880" max="5880" width="32.42578125" style="65" customWidth="1"/>
    <col min="5881" max="5881" width="9.85546875" style="65" customWidth="1"/>
    <col min="5882" max="5882" width="10.140625" style="65" customWidth="1"/>
    <col min="5883" max="5883" width="12.28515625" style="65" customWidth="1"/>
    <col min="5884" max="5884" width="15.42578125" style="65" customWidth="1"/>
    <col min="5885" max="5885" width="11.85546875" style="65" customWidth="1"/>
    <col min="5886" max="5886" width="13.28515625" style="65" customWidth="1"/>
    <col min="5887" max="5887" width="15.28515625" style="65" customWidth="1"/>
    <col min="5888" max="5888" width="11.85546875" style="65" customWidth="1"/>
    <col min="5889" max="5889" width="6.140625" style="65" customWidth="1"/>
    <col min="5890" max="5890" width="11.85546875" style="65" customWidth="1"/>
    <col min="5891" max="5891" width="9.42578125" style="65" customWidth="1"/>
    <col min="5892" max="5892" width="14.7109375" style="65" customWidth="1"/>
    <col min="5893" max="5893" width="11.5703125" style="65" customWidth="1"/>
    <col min="5894" max="5894" width="0.42578125" style="65" customWidth="1"/>
    <col min="5895" max="5895" width="10.5703125" style="65" bestFit="1" customWidth="1"/>
    <col min="5896" max="5896" width="12.28515625" style="65" customWidth="1"/>
    <col min="5897" max="5897" width="12.5703125" style="65" customWidth="1"/>
    <col min="5898" max="5898" width="10.5703125" style="65" customWidth="1"/>
    <col min="5899" max="5899" width="10.140625" style="65" customWidth="1"/>
    <col min="5900" max="5900" width="8.42578125" style="65" customWidth="1"/>
    <col min="5901" max="5901" width="18.85546875" style="65" customWidth="1"/>
    <col min="5902" max="5902" width="10.28515625" style="65" customWidth="1"/>
    <col min="5903" max="5903" width="11.42578125" style="65"/>
    <col min="5904" max="5904" width="12.140625" style="65" customWidth="1"/>
    <col min="5905" max="5905" width="10.5703125" style="65" customWidth="1"/>
    <col min="5906" max="5906" width="12.42578125" style="65" customWidth="1"/>
    <col min="5907" max="5907" width="15.140625" style="65" customWidth="1"/>
    <col min="5908" max="5908" width="13.5703125" style="65" customWidth="1"/>
    <col min="5909" max="5909" width="13.140625" style="65" customWidth="1"/>
    <col min="5910" max="5910" width="15.7109375" style="65" customWidth="1"/>
    <col min="5911" max="5911" width="37.5703125" style="65" customWidth="1"/>
    <col min="5912" max="6133" width="11.42578125" style="65"/>
    <col min="6134" max="6134" width="10.5703125" style="65" customWidth="1"/>
    <col min="6135" max="6135" width="4.85546875" style="65" customWidth="1"/>
    <col min="6136" max="6136" width="32.42578125" style="65" customWidth="1"/>
    <col min="6137" max="6137" width="9.85546875" style="65" customWidth="1"/>
    <col min="6138" max="6138" width="10.140625" style="65" customWidth="1"/>
    <col min="6139" max="6139" width="12.28515625" style="65" customWidth="1"/>
    <col min="6140" max="6140" width="15.42578125" style="65" customWidth="1"/>
    <col min="6141" max="6141" width="11.85546875" style="65" customWidth="1"/>
    <col min="6142" max="6142" width="13.28515625" style="65" customWidth="1"/>
    <col min="6143" max="6143" width="15.28515625" style="65" customWidth="1"/>
    <col min="6144" max="6144" width="11.85546875" style="65" customWidth="1"/>
    <col min="6145" max="6145" width="6.140625" style="65" customWidth="1"/>
    <col min="6146" max="6146" width="11.85546875" style="65" customWidth="1"/>
    <col min="6147" max="6147" width="9.42578125" style="65" customWidth="1"/>
    <col min="6148" max="6148" width="14.7109375" style="65" customWidth="1"/>
    <col min="6149" max="6149" width="11.5703125" style="65" customWidth="1"/>
    <col min="6150" max="6150" width="0.42578125" style="65" customWidth="1"/>
    <col min="6151" max="6151" width="10.5703125" style="65" bestFit="1" customWidth="1"/>
    <col min="6152" max="6152" width="12.28515625" style="65" customWidth="1"/>
    <col min="6153" max="6153" width="12.5703125" style="65" customWidth="1"/>
    <col min="6154" max="6154" width="10.5703125" style="65" customWidth="1"/>
    <col min="6155" max="6155" width="10.140625" style="65" customWidth="1"/>
    <col min="6156" max="6156" width="8.42578125" style="65" customWidth="1"/>
    <col min="6157" max="6157" width="18.85546875" style="65" customWidth="1"/>
    <col min="6158" max="6158" width="10.28515625" style="65" customWidth="1"/>
    <col min="6159" max="6159" width="11.42578125" style="65"/>
    <col min="6160" max="6160" width="12.140625" style="65" customWidth="1"/>
    <col min="6161" max="6161" width="10.5703125" style="65" customWidth="1"/>
    <col min="6162" max="6162" width="12.42578125" style="65" customWidth="1"/>
    <col min="6163" max="6163" width="15.140625" style="65" customWidth="1"/>
    <col min="6164" max="6164" width="13.5703125" style="65" customWidth="1"/>
    <col min="6165" max="6165" width="13.140625" style="65" customWidth="1"/>
    <col min="6166" max="6166" width="15.7109375" style="65" customWidth="1"/>
    <col min="6167" max="6167" width="37.5703125" style="65" customWidth="1"/>
    <col min="6168" max="6389" width="11.42578125" style="65"/>
    <col min="6390" max="6390" width="10.5703125" style="65" customWidth="1"/>
    <col min="6391" max="6391" width="4.85546875" style="65" customWidth="1"/>
    <col min="6392" max="6392" width="32.42578125" style="65" customWidth="1"/>
    <col min="6393" max="6393" width="9.85546875" style="65" customWidth="1"/>
    <col min="6394" max="6394" width="10.140625" style="65" customWidth="1"/>
    <col min="6395" max="6395" width="12.28515625" style="65" customWidth="1"/>
    <col min="6396" max="6396" width="15.42578125" style="65" customWidth="1"/>
    <col min="6397" max="6397" width="11.85546875" style="65" customWidth="1"/>
    <col min="6398" max="6398" width="13.28515625" style="65" customWidth="1"/>
    <col min="6399" max="6399" width="15.28515625" style="65" customWidth="1"/>
    <col min="6400" max="6400" width="11.85546875" style="65" customWidth="1"/>
    <col min="6401" max="6401" width="6.140625" style="65" customWidth="1"/>
    <col min="6402" max="6402" width="11.85546875" style="65" customWidth="1"/>
    <col min="6403" max="6403" width="9.42578125" style="65" customWidth="1"/>
    <col min="6404" max="6404" width="14.7109375" style="65" customWidth="1"/>
    <col min="6405" max="6405" width="11.5703125" style="65" customWidth="1"/>
    <col min="6406" max="6406" width="0.42578125" style="65" customWidth="1"/>
    <col min="6407" max="6407" width="10.5703125" style="65" bestFit="1" customWidth="1"/>
    <col min="6408" max="6408" width="12.28515625" style="65" customWidth="1"/>
    <col min="6409" max="6409" width="12.5703125" style="65" customWidth="1"/>
    <col min="6410" max="6410" width="10.5703125" style="65" customWidth="1"/>
    <col min="6411" max="6411" width="10.140625" style="65" customWidth="1"/>
    <col min="6412" max="6412" width="8.42578125" style="65" customWidth="1"/>
    <col min="6413" max="6413" width="18.85546875" style="65" customWidth="1"/>
    <col min="6414" max="6414" width="10.28515625" style="65" customWidth="1"/>
    <col min="6415" max="6415" width="11.42578125" style="65"/>
    <col min="6416" max="6416" width="12.140625" style="65" customWidth="1"/>
    <col min="6417" max="6417" width="10.5703125" style="65" customWidth="1"/>
    <col min="6418" max="6418" width="12.42578125" style="65" customWidth="1"/>
    <col min="6419" max="6419" width="15.140625" style="65" customWidth="1"/>
    <col min="6420" max="6420" width="13.5703125" style="65" customWidth="1"/>
    <col min="6421" max="6421" width="13.140625" style="65" customWidth="1"/>
    <col min="6422" max="6422" width="15.7109375" style="65" customWidth="1"/>
    <col min="6423" max="6423" width="37.5703125" style="65" customWidth="1"/>
    <col min="6424" max="6645" width="11.42578125" style="65"/>
    <col min="6646" max="6646" width="10.5703125" style="65" customWidth="1"/>
    <col min="6647" max="6647" width="4.85546875" style="65" customWidth="1"/>
    <col min="6648" max="6648" width="32.42578125" style="65" customWidth="1"/>
    <col min="6649" max="6649" width="9.85546875" style="65" customWidth="1"/>
    <col min="6650" max="6650" width="10.140625" style="65" customWidth="1"/>
    <col min="6651" max="6651" width="12.28515625" style="65" customWidth="1"/>
    <col min="6652" max="6652" width="15.42578125" style="65" customWidth="1"/>
    <col min="6653" max="6653" width="11.85546875" style="65" customWidth="1"/>
    <col min="6654" max="6654" width="13.28515625" style="65" customWidth="1"/>
    <col min="6655" max="6655" width="15.28515625" style="65" customWidth="1"/>
    <col min="6656" max="6656" width="11.85546875" style="65" customWidth="1"/>
    <col min="6657" max="6657" width="6.140625" style="65" customWidth="1"/>
    <col min="6658" max="6658" width="11.85546875" style="65" customWidth="1"/>
    <col min="6659" max="6659" width="9.42578125" style="65" customWidth="1"/>
    <col min="6660" max="6660" width="14.7109375" style="65" customWidth="1"/>
    <col min="6661" max="6661" width="11.5703125" style="65" customWidth="1"/>
    <col min="6662" max="6662" width="0.42578125" style="65" customWidth="1"/>
    <col min="6663" max="6663" width="10.5703125" style="65" bestFit="1" customWidth="1"/>
    <col min="6664" max="6664" width="12.28515625" style="65" customWidth="1"/>
    <col min="6665" max="6665" width="12.5703125" style="65" customWidth="1"/>
    <col min="6666" max="6666" width="10.5703125" style="65" customWidth="1"/>
    <col min="6667" max="6667" width="10.140625" style="65" customWidth="1"/>
    <col min="6668" max="6668" width="8.42578125" style="65" customWidth="1"/>
    <col min="6669" max="6669" width="18.85546875" style="65" customWidth="1"/>
    <col min="6670" max="6670" width="10.28515625" style="65" customWidth="1"/>
    <col min="6671" max="6671" width="11.42578125" style="65"/>
    <col min="6672" max="6672" width="12.140625" style="65" customWidth="1"/>
    <col min="6673" max="6673" width="10.5703125" style="65" customWidth="1"/>
    <col min="6674" max="6674" width="12.42578125" style="65" customWidth="1"/>
    <col min="6675" max="6675" width="15.140625" style="65" customWidth="1"/>
    <col min="6676" max="6676" width="13.5703125" style="65" customWidth="1"/>
    <col min="6677" max="6677" width="13.140625" style="65" customWidth="1"/>
    <col min="6678" max="6678" width="15.7109375" style="65" customWidth="1"/>
    <col min="6679" max="6679" width="37.5703125" style="65" customWidth="1"/>
    <col min="6680" max="6901" width="11.42578125" style="65"/>
    <col min="6902" max="6902" width="10.5703125" style="65" customWidth="1"/>
    <col min="6903" max="6903" width="4.85546875" style="65" customWidth="1"/>
    <col min="6904" max="6904" width="32.42578125" style="65" customWidth="1"/>
    <col min="6905" max="6905" width="9.85546875" style="65" customWidth="1"/>
    <col min="6906" max="6906" width="10.140625" style="65" customWidth="1"/>
    <col min="6907" max="6907" width="12.28515625" style="65" customWidth="1"/>
    <col min="6908" max="6908" width="15.42578125" style="65" customWidth="1"/>
    <col min="6909" max="6909" width="11.85546875" style="65" customWidth="1"/>
    <col min="6910" max="6910" width="13.28515625" style="65" customWidth="1"/>
    <col min="6911" max="6911" width="15.28515625" style="65" customWidth="1"/>
    <col min="6912" max="6912" width="11.85546875" style="65" customWidth="1"/>
    <col min="6913" max="6913" width="6.140625" style="65" customWidth="1"/>
    <col min="6914" max="6914" width="11.85546875" style="65" customWidth="1"/>
    <col min="6915" max="6915" width="9.42578125" style="65" customWidth="1"/>
    <col min="6916" max="6916" width="14.7109375" style="65" customWidth="1"/>
    <col min="6917" max="6917" width="11.5703125" style="65" customWidth="1"/>
    <col min="6918" max="6918" width="0.42578125" style="65" customWidth="1"/>
    <col min="6919" max="6919" width="10.5703125" style="65" bestFit="1" customWidth="1"/>
    <col min="6920" max="6920" width="12.28515625" style="65" customWidth="1"/>
    <col min="6921" max="6921" width="12.5703125" style="65" customWidth="1"/>
    <col min="6922" max="6922" width="10.5703125" style="65" customWidth="1"/>
    <col min="6923" max="6923" width="10.140625" style="65" customWidth="1"/>
    <col min="6924" max="6924" width="8.42578125" style="65" customWidth="1"/>
    <col min="6925" max="6925" width="18.85546875" style="65" customWidth="1"/>
    <col min="6926" max="6926" width="10.28515625" style="65" customWidth="1"/>
    <col min="6927" max="6927" width="11.42578125" style="65"/>
    <col min="6928" max="6928" width="12.140625" style="65" customWidth="1"/>
    <col min="6929" max="6929" width="10.5703125" style="65" customWidth="1"/>
    <col min="6930" max="6930" width="12.42578125" style="65" customWidth="1"/>
    <col min="6931" max="6931" width="15.140625" style="65" customWidth="1"/>
    <col min="6932" max="6932" width="13.5703125" style="65" customWidth="1"/>
    <col min="6933" max="6933" width="13.140625" style="65" customWidth="1"/>
    <col min="6934" max="6934" width="15.7109375" style="65" customWidth="1"/>
    <col min="6935" max="6935" width="37.5703125" style="65" customWidth="1"/>
    <col min="6936" max="7157" width="11.42578125" style="65"/>
    <col min="7158" max="7158" width="10.5703125" style="65" customWidth="1"/>
    <col min="7159" max="7159" width="4.85546875" style="65" customWidth="1"/>
    <col min="7160" max="7160" width="32.42578125" style="65" customWidth="1"/>
    <col min="7161" max="7161" width="9.85546875" style="65" customWidth="1"/>
    <col min="7162" max="7162" width="10.140625" style="65" customWidth="1"/>
    <col min="7163" max="7163" width="12.28515625" style="65" customWidth="1"/>
    <col min="7164" max="7164" width="15.42578125" style="65" customWidth="1"/>
    <col min="7165" max="7165" width="11.85546875" style="65" customWidth="1"/>
    <col min="7166" max="7166" width="13.28515625" style="65" customWidth="1"/>
    <col min="7167" max="7167" width="15.28515625" style="65" customWidth="1"/>
    <col min="7168" max="7168" width="11.85546875" style="65" customWidth="1"/>
    <col min="7169" max="7169" width="6.140625" style="65" customWidth="1"/>
    <col min="7170" max="7170" width="11.85546875" style="65" customWidth="1"/>
    <col min="7171" max="7171" width="9.42578125" style="65" customWidth="1"/>
    <col min="7172" max="7172" width="14.7109375" style="65" customWidth="1"/>
    <col min="7173" max="7173" width="11.5703125" style="65" customWidth="1"/>
    <col min="7174" max="7174" width="0.42578125" style="65" customWidth="1"/>
    <col min="7175" max="7175" width="10.5703125" style="65" bestFit="1" customWidth="1"/>
    <col min="7176" max="7176" width="12.28515625" style="65" customWidth="1"/>
    <col min="7177" max="7177" width="12.5703125" style="65" customWidth="1"/>
    <col min="7178" max="7178" width="10.5703125" style="65" customWidth="1"/>
    <col min="7179" max="7179" width="10.140625" style="65" customWidth="1"/>
    <col min="7180" max="7180" width="8.42578125" style="65" customWidth="1"/>
    <col min="7181" max="7181" width="18.85546875" style="65" customWidth="1"/>
    <col min="7182" max="7182" width="10.28515625" style="65" customWidth="1"/>
    <col min="7183" max="7183" width="11.42578125" style="65"/>
    <col min="7184" max="7184" width="12.140625" style="65" customWidth="1"/>
    <col min="7185" max="7185" width="10.5703125" style="65" customWidth="1"/>
    <col min="7186" max="7186" width="12.42578125" style="65" customWidth="1"/>
    <col min="7187" max="7187" width="15.140625" style="65" customWidth="1"/>
    <col min="7188" max="7188" width="13.5703125" style="65" customWidth="1"/>
    <col min="7189" max="7189" width="13.140625" style="65" customWidth="1"/>
    <col min="7190" max="7190" width="15.7109375" style="65" customWidth="1"/>
    <col min="7191" max="7191" width="37.5703125" style="65" customWidth="1"/>
    <col min="7192" max="7413" width="11.42578125" style="65"/>
    <col min="7414" max="7414" width="10.5703125" style="65" customWidth="1"/>
    <col min="7415" max="7415" width="4.85546875" style="65" customWidth="1"/>
    <col min="7416" max="7416" width="32.42578125" style="65" customWidth="1"/>
    <col min="7417" max="7417" width="9.85546875" style="65" customWidth="1"/>
    <col min="7418" max="7418" width="10.140625" style="65" customWidth="1"/>
    <col min="7419" max="7419" width="12.28515625" style="65" customWidth="1"/>
    <col min="7420" max="7420" width="15.42578125" style="65" customWidth="1"/>
    <col min="7421" max="7421" width="11.85546875" style="65" customWidth="1"/>
    <col min="7422" max="7422" width="13.28515625" style="65" customWidth="1"/>
    <col min="7423" max="7423" width="15.28515625" style="65" customWidth="1"/>
    <col min="7424" max="7424" width="11.85546875" style="65" customWidth="1"/>
    <col min="7425" max="7425" width="6.140625" style="65" customWidth="1"/>
    <col min="7426" max="7426" width="11.85546875" style="65" customWidth="1"/>
    <col min="7427" max="7427" width="9.42578125" style="65" customWidth="1"/>
    <col min="7428" max="7428" width="14.7109375" style="65" customWidth="1"/>
    <col min="7429" max="7429" width="11.5703125" style="65" customWidth="1"/>
    <col min="7430" max="7430" width="0.42578125" style="65" customWidth="1"/>
    <col min="7431" max="7431" width="10.5703125" style="65" bestFit="1" customWidth="1"/>
    <col min="7432" max="7432" width="12.28515625" style="65" customWidth="1"/>
    <col min="7433" max="7433" width="12.5703125" style="65" customWidth="1"/>
    <col min="7434" max="7434" width="10.5703125" style="65" customWidth="1"/>
    <col min="7435" max="7435" width="10.140625" style="65" customWidth="1"/>
    <col min="7436" max="7436" width="8.42578125" style="65" customWidth="1"/>
    <col min="7437" max="7437" width="18.85546875" style="65" customWidth="1"/>
    <col min="7438" max="7438" width="10.28515625" style="65" customWidth="1"/>
    <col min="7439" max="7439" width="11.42578125" style="65"/>
    <col min="7440" max="7440" width="12.140625" style="65" customWidth="1"/>
    <col min="7441" max="7441" width="10.5703125" style="65" customWidth="1"/>
    <col min="7442" max="7442" width="12.42578125" style="65" customWidth="1"/>
    <col min="7443" max="7443" width="15.140625" style="65" customWidth="1"/>
    <col min="7444" max="7444" width="13.5703125" style="65" customWidth="1"/>
    <col min="7445" max="7445" width="13.140625" style="65" customWidth="1"/>
    <col min="7446" max="7446" width="15.7109375" style="65" customWidth="1"/>
    <col min="7447" max="7447" width="37.5703125" style="65" customWidth="1"/>
    <col min="7448" max="7669" width="11.42578125" style="65"/>
    <col min="7670" max="7670" width="10.5703125" style="65" customWidth="1"/>
    <col min="7671" max="7671" width="4.85546875" style="65" customWidth="1"/>
    <col min="7672" max="7672" width="32.42578125" style="65" customWidth="1"/>
    <col min="7673" max="7673" width="9.85546875" style="65" customWidth="1"/>
    <col min="7674" max="7674" width="10.140625" style="65" customWidth="1"/>
    <col min="7675" max="7675" width="12.28515625" style="65" customWidth="1"/>
    <col min="7676" max="7676" width="15.42578125" style="65" customWidth="1"/>
    <col min="7677" max="7677" width="11.85546875" style="65" customWidth="1"/>
    <col min="7678" max="7678" width="13.28515625" style="65" customWidth="1"/>
    <col min="7679" max="7679" width="15.28515625" style="65" customWidth="1"/>
    <col min="7680" max="7680" width="11.85546875" style="65" customWidth="1"/>
    <col min="7681" max="7681" width="6.140625" style="65" customWidth="1"/>
    <col min="7682" max="7682" width="11.85546875" style="65" customWidth="1"/>
    <col min="7683" max="7683" width="9.42578125" style="65" customWidth="1"/>
    <col min="7684" max="7684" width="14.7109375" style="65" customWidth="1"/>
    <col min="7685" max="7685" width="11.5703125" style="65" customWidth="1"/>
    <col min="7686" max="7686" width="0.42578125" style="65" customWidth="1"/>
    <col min="7687" max="7687" width="10.5703125" style="65" bestFit="1" customWidth="1"/>
    <col min="7688" max="7688" width="12.28515625" style="65" customWidth="1"/>
    <col min="7689" max="7689" width="12.5703125" style="65" customWidth="1"/>
    <col min="7690" max="7690" width="10.5703125" style="65" customWidth="1"/>
    <col min="7691" max="7691" width="10.140625" style="65" customWidth="1"/>
    <col min="7692" max="7692" width="8.42578125" style="65" customWidth="1"/>
    <col min="7693" max="7693" width="18.85546875" style="65" customWidth="1"/>
    <col min="7694" max="7694" width="10.28515625" style="65" customWidth="1"/>
    <col min="7695" max="7695" width="11.42578125" style="65"/>
    <col min="7696" max="7696" width="12.140625" style="65" customWidth="1"/>
    <col min="7697" max="7697" width="10.5703125" style="65" customWidth="1"/>
    <col min="7698" max="7698" width="12.42578125" style="65" customWidth="1"/>
    <col min="7699" max="7699" width="15.140625" style="65" customWidth="1"/>
    <col min="7700" max="7700" width="13.5703125" style="65" customWidth="1"/>
    <col min="7701" max="7701" width="13.140625" style="65" customWidth="1"/>
    <col min="7702" max="7702" width="15.7109375" style="65" customWidth="1"/>
    <col min="7703" max="7703" width="37.5703125" style="65" customWidth="1"/>
    <col min="7704" max="7925" width="11.42578125" style="65"/>
    <col min="7926" max="7926" width="10.5703125" style="65" customWidth="1"/>
    <col min="7927" max="7927" width="4.85546875" style="65" customWidth="1"/>
    <col min="7928" max="7928" width="32.42578125" style="65" customWidth="1"/>
    <col min="7929" max="7929" width="9.85546875" style="65" customWidth="1"/>
    <col min="7930" max="7930" width="10.140625" style="65" customWidth="1"/>
    <col min="7931" max="7931" width="12.28515625" style="65" customWidth="1"/>
    <col min="7932" max="7932" width="15.42578125" style="65" customWidth="1"/>
    <col min="7933" max="7933" width="11.85546875" style="65" customWidth="1"/>
    <col min="7934" max="7934" width="13.28515625" style="65" customWidth="1"/>
    <col min="7935" max="7935" width="15.28515625" style="65" customWidth="1"/>
    <col min="7936" max="7936" width="11.85546875" style="65" customWidth="1"/>
    <col min="7937" max="7937" width="6.140625" style="65" customWidth="1"/>
    <col min="7938" max="7938" width="11.85546875" style="65" customWidth="1"/>
    <col min="7939" max="7939" width="9.42578125" style="65" customWidth="1"/>
    <col min="7940" max="7940" width="14.7109375" style="65" customWidth="1"/>
    <col min="7941" max="7941" width="11.5703125" style="65" customWidth="1"/>
    <col min="7942" max="7942" width="0.42578125" style="65" customWidth="1"/>
    <col min="7943" max="7943" width="10.5703125" style="65" bestFit="1" customWidth="1"/>
    <col min="7944" max="7944" width="12.28515625" style="65" customWidth="1"/>
    <col min="7945" max="7945" width="12.5703125" style="65" customWidth="1"/>
    <col min="7946" max="7946" width="10.5703125" style="65" customWidth="1"/>
    <col min="7947" max="7947" width="10.140625" style="65" customWidth="1"/>
    <col min="7948" max="7948" width="8.42578125" style="65" customWidth="1"/>
    <col min="7949" max="7949" width="18.85546875" style="65" customWidth="1"/>
    <col min="7950" max="7950" width="10.28515625" style="65" customWidth="1"/>
    <col min="7951" max="7951" width="11.42578125" style="65"/>
    <col min="7952" max="7952" width="12.140625" style="65" customWidth="1"/>
    <col min="7953" max="7953" width="10.5703125" style="65" customWidth="1"/>
    <col min="7954" max="7954" width="12.42578125" style="65" customWidth="1"/>
    <col min="7955" max="7955" width="15.140625" style="65" customWidth="1"/>
    <col min="7956" max="7956" width="13.5703125" style="65" customWidth="1"/>
    <col min="7957" max="7957" width="13.140625" style="65" customWidth="1"/>
    <col min="7958" max="7958" width="15.7109375" style="65" customWidth="1"/>
    <col min="7959" max="7959" width="37.5703125" style="65" customWidth="1"/>
    <col min="7960" max="8181" width="11.42578125" style="65"/>
    <col min="8182" max="8182" width="10.5703125" style="65" customWidth="1"/>
    <col min="8183" max="8183" width="4.85546875" style="65" customWidth="1"/>
    <col min="8184" max="8184" width="32.42578125" style="65" customWidth="1"/>
    <col min="8185" max="8185" width="9.85546875" style="65" customWidth="1"/>
    <col min="8186" max="8186" width="10.140625" style="65" customWidth="1"/>
    <col min="8187" max="8187" width="12.28515625" style="65" customWidth="1"/>
    <col min="8188" max="8188" width="15.42578125" style="65" customWidth="1"/>
    <col min="8189" max="8189" width="11.85546875" style="65" customWidth="1"/>
    <col min="8190" max="8190" width="13.28515625" style="65" customWidth="1"/>
    <col min="8191" max="8191" width="15.28515625" style="65" customWidth="1"/>
    <col min="8192" max="8192" width="11.85546875" style="65" customWidth="1"/>
    <col min="8193" max="8193" width="6.140625" style="65" customWidth="1"/>
    <col min="8194" max="8194" width="11.85546875" style="65" customWidth="1"/>
    <col min="8195" max="8195" width="9.42578125" style="65" customWidth="1"/>
    <col min="8196" max="8196" width="14.7109375" style="65" customWidth="1"/>
    <col min="8197" max="8197" width="11.5703125" style="65" customWidth="1"/>
    <col min="8198" max="8198" width="0.42578125" style="65" customWidth="1"/>
    <col min="8199" max="8199" width="10.5703125" style="65" bestFit="1" customWidth="1"/>
    <col min="8200" max="8200" width="12.28515625" style="65" customWidth="1"/>
    <col min="8201" max="8201" width="12.5703125" style="65" customWidth="1"/>
    <col min="8202" max="8202" width="10.5703125" style="65" customWidth="1"/>
    <col min="8203" max="8203" width="10.140625" style="65" customWidth="1"/>
    <col min="8204" max="8204" width="8.42578125" style="65" customWidth="1"/>
    <col min="8205" max="8205" width="18.85546875" style="65" customWidth="1"/>
    <col min="8206" max="8206" width="10.28515625" style="65" customWidth="1"/>
    <col min="8207" max="8207" width="11.42578125" style="65"/>
    <col min="8208" max="8208" width="12.140625" style="65" customWidth="1"/>
    <col min="8209" max="8209" width="10.5703125" style="65" customWidth="1"/>
    <col min="8210" max="8210" width="12.42578125" style="65" customWidth="1"/>
    <col min="8211" max="8211" width="15.140625" style="65" customWidth="1"/>
    <col min="8212" max="8212" width="13.5703125" style="65" customWidth="1"/>
    <col min="8213" max="8213" width="13.140625" style="65" customWidth="1"/>
    <col min="8214" max="8214" width="15.7109375" style="65" customWidth="1"/>
    <col min="8215" max="8215" width="37.5703125" style="65" customWidth="1"/>
    <col min="8216" max="8437" width="11.42578125" style="65"/>
    <col min="8438" max="8438" width="10.5703125" style="65" customWidth="1"/>
    <col min="8439" max="8439" width="4.85546875" style="65" customWidth="1"/>
    <col min="8440" max="8440" width="32.42578125" style="65" customWidth="1"/>
    <col min="8441" max="8441" width="9.85546875" style="65" customWidth="1"/>
    <col min="8442" max="8442" width="10.140625" style="65" customWidth="1"/>
    <col min="8443" max="8443" width="12.28515625" style="65" customWidth="1"/>
    <col min="8444" max="8444" width="15.42578125" style="65" customWidth="1"/>
    <col min="8445" max="8445" width="11.85546875" style="65" customWidth="1"/>
    <col min="8446" max="8446" width="13.28515625" style="65" customWidth="1"/>
    <col min="8447" max="8447" width="15.28515625" style="65" customWidth="1"/>
    <col min="8448" max="8448" width="11.85546875" style="65" customWidth="1"/>
    <col min="8449" max="8449" width="6.140625" style="65" customWidth="1"/>
    <col min="8450" max="8450" width="11.85546875" style="65" customWidth="1"/>
    <col min="8451" max="8451" width="9.42578125" style="65" customWidth="1"/>
    <col min="8452" max="8452" width="14.7109375" style="65" customWidth="1"/>
    <col min="8453" max="8453" width="11.5703125" style="65" customWidth="1"/>
    <col min="8454" max="8454" width="0.42578125" style="65" customWidth="1"/>
    <col min="8455" max="8455" width="10.5703125" style="65" bestFit="1" customWidth="1"/>
    <col min="8456" max="8456" width="12.28515625" style="65" customWidth="1"/>
    <col min="8457" max="8457" width="12.5703125" style="65" customWidth="1"/>
    <col min="8458" max="8458" width="10.5703125" style="65" customWidth="1"/>
    <col min="8459" max="8459" width="10.140625" style="65" customWidth="1"/>
    <col min="8460" max="8460" width="8.42578125" style="65" customWidth="1"/>
    <col min="8461" max="8461" width="18.85546875" style="65" customWidth="1"/>
    <col min="8462" max="8462" width="10.28515625" style="65" customWidth="1"/>
    <col min="8463" max="8463" width="11.42578125" style="65"/>
    <col min="8464" max="8464" width="12.140625" style="65" customWidth="1"/>
    <col min="8465" max="8465" width="10.5703125" style="65" customWidth="1"/>
    <col min="8466" max="8466" width="12.42578125" style="65" customWidth="1"/>
    <col min="8467" max="8467" width="15.140625" style="65" customWidth="1"/>
    <col min="8468" max="8468" width="13.5703125" style="65" customWidth="1"/>
    <col min="8469" max="8469" width="13.140625" style="65" customWidth="1"/>
    <col min="8470" max="8470" width="15.7109375" style="65" customWidth="1"/>
    <col min="8471" max="8471" width="37.5703125" style="65" customWidth="1"/>
    <col min="8472" max="8693" width="11.42578125" style="65"/>
    <col min="8694" max="8694" width="10.5703125" style="65" customWidth="1"/>
    <col min="8695" max="8695" width="4.85546875" style="65" customWidth="1"/>
    <col min="8696" max="8696" width="32.42578125" style="65" customWidth="1"/>
    <col min="8697" max="8697" width="9.85546875" style="65" customWidth="1"/>
    <col min="8698" max="8698" width="10.140625" style="65" customWidth="1"/>
    <col min="8699" max="8699" width="12.28515625" style="65" customWidth="1"/>
    <col min="8700" max="8700" width="15.42578125" style="65" customWidth="1"/>
    <col min="8701" max="8701" width="11.85546875" style="65" customWidth="1"/>
    <col min="8702" max="8702" width="13.28515625" style="65" customWidth="1"/>
    <col min="8703" max="8703" width="15.28515625" style="65" customWidth="1"/>
    <col min="8704" max="8704" width="11.85546875" style="65" customWidth="1"/>
    <col min="8705" max="8705" width="6.140625" style="65" customWidth="1"/>
    <col min="8706" max="8706" width="11.85546875" style="65" customWidth="1"/>
    <col min="8707" max="8707" width="9.42578125" style="65" customWidth="1"/>
    <col min="8708" max="8708" width="14.7109375" style="65" customWidth="1"/>
    <col min="8709" max="8709" width="11.5703125" style="65" customWidth="1"/>
    <col min="8710" max="8710" width="0.42578125" style="65" customWidth="1"/>
    <col min="8711" max="8711" width="10.5703125" style="65" bestFit="1" customWidth="1"/>
    <col min="8712" max="8712" width="12.28515625" style="65" customWidth="1"/>
    <col min="8713" max="8713" width="12.5703125" style="65" customWidth="1"/>
    <col min="8714" max="8714" width="10.5703125" style="65" customWidth="1"/>
    <col min="8715" max="8715" width="10.140625" style="65" customWidth="1"/>
    <col min="8716" max="8716" width="8.42578125" style="65" customWidth="1"/>
    <col min="8717" max="8717" width="18.85546875" style="65" customWidth="1"/>
    <col min="8718" max="8718" width="10.28515625" style="65" customWidth="1"/>
    <col min="8719" max="8719" width="11.42578125" style="65"/>
    <col min="8720" max="8720" width="12.140625" style="65" customWidth="1"/>
    <col min="8721" max="8721" width="10.5703125" style="65" customWidth="1"/>
    <col min="8722" max="8722" width="12.42578125" style="65" customWidth="1"/>
    <col min="8723" max="8723" width="15.140625" style="65" customWidth="1"/>
    <col min="8724" max="8724" width="13.5703125" style="65" customWidth="1"/>
    <col min="8725" max="8725" width="13.140625" style="65" customWidth="1"/>
    <col min="8726" max="8726" width="15.7109375" style="65" customWidth="1"/>
    <col min="8727" max="8727" width="37.5703125" style="65" customWidth="1"/>
    <col min="8728" max="8949" width="11.42578125" style="65"/>
    <col min="8950" max="8950" width="10.5703125" style="65" customWidth="1"/>
    <col min="8951" max="8951" width="4.85546875" style="65" customWidth="1"/>
    <col min="8952" max="8952" width="32.42578125" style="65" customWidth="1"/>
    <col min="8953" max="8953" width="9.85546875" style="65" customWidth="1"/>
    <col min="8954" max="8954" width="10.140625" style="65" customWidth="1"/>
    <col min="8955" max="8955" width="12.28515625" style="65" customWidth="1"/>
    <col min="8956" max="8956" width="15.42578125" style="65" customWidth="1"/>
    <col min="8957" max="8957" width="11.85546875" style="65" customWidth="1"/>
    <col min="8958" max="8958" width="13.28515625" style="65" customWidth="1"/>
    <col min="8959" max="8959" width="15.28515625" style="65" customWidth="1"/>
    <col min="8960" max="8960" width="11.85546875" style="65" customWidth="1"/>
    <col min="8961" max="8961" width="6.140625" style="65" customWidth="1"/>
    <col min="8962" max="8962" width="11.85546875" style="65" customWidth="1"/>
    <col min="8963" max="8963" width="9.42578125" style="65" customWidth="1"/>
    <col min="8964" max="8964" width="14.7109375" style="65" customWidth="1"/>
    <col min="8965" max="8965" width="11.5703125" style="65" customWidth="1"/>
    <col min="8966" max="8966" width="0.42578125" style="65" customWidth="1"/>
    <col min="8967" max="8967" width="10.5703125" style="65" bestFit="1" customWidth="1"/>
    <col min="8968" max="8968" width="12.28515625" style="65" customWidth="1"/>
    <col min="8969" max="8969" width="12.5703125" style="65" customWidth="1"/>
    <col min="8970" max="8970" width="10.5703125" style="65" customWidth="1"/>
    <col min="8971" max="8971" width="10.140625" style="65" customWidth="1"/>
    <col min="8972" max="8972" width="8.42578125" style="65" customWidth="1"/>
    <col min="8973" max="8973" width="18.85546875" style="65" customWidth="1"/>
    <col min="8974" max="8974" width="10.28515625" style="65" customWidth="1"/>
    <col min="8975" max="8975" width="11.42578125" style="65"/>
    <col min="8976" max="8976" width="12.140625" style="65" customWidth="1"/>
    <col min="8977" max="8977" width="10.5703125" style="65" customWidth="1"/>
    <col min="8978" max="8978" width="12.42578125" style="65" customWidth="1"/>
    <col min="8979" max="8979" width="15.140625" style="65" customWidth="1"/>
    <col min="8980" max="8980" width="13.5703125" style="65" customWidth="1"/>
    <col min="8981" max="8981" width="13.140625" style="65" customWidth="1"/>
    <col min="8982" max="8982" width="15.7109375" style="65" customWidth="1"/>
    <col min="8983" max="8983" width="37.5703125" style="65" customWidth="1"/>
    <col min="8984" max="9205" width="11.42578125" style="65"/>
    <col min="9206" max="9206" width="10.5703125" style="65" customWidth="1"/>
    <col min="9207" max="9207" width="4.85546875" style="65" customWidth="1"/>
    <col min="9208" max="9208" width="32.42578125" style="65" customWidth="1"/>
    <col min="9209" max="9209" width="9.85546875" style="65" customWidth="1"/>
    <col min="9210" max="9210" width="10.140625" style="65" customWidth="1"/>
    <col min="9211" max="9211" width="12.28515625" style="65" customWidth="1"/>
    <col min="9212" max="9212" width="15.42578125" style="65" customWidth="1"/>
    <col min="9213" max="9213" width="11.85546875" style="65" customWidth="1"/>
    <col min="9214" max="9214" width="13.28515625" style="65" customWidth="1"/>
    <col min="9215" max="9215" width="15.28515625" style="65" customWidth="1"/>
    <col min="9216" max="9216" width="11.85546875" style="65" customWidth="1"/>
    <col min="9217" max="9217" width="6.140625" style="65" customWidth="1"/>
    <col min="9218" max="9218" width="11.85546875" style="65" customWidth="1"/>
    <col min="9219" max="9219" width="9.42578125" style="65" customWidth="1"/>
    <col min="9220" max="9220" width="14.7109375" style="65" customWidth="1"/>
    <col min="9221" max="9221" width="11.5703125" style="65" customWidth="1"/>
    <col min="9222" max="9222" width="0.42578125" style="65" customWidth="1"/>
    <col min="9223" max="9223" width="10.5703125" style="65" bestFit="1" customWidth="1"/>
    <col min="9224" max="9224" width="12.28515625" style="65" customWidth="1"/>
    <col min="9225" max="9225" width="12.5703125" style="65" customWidth="1"/>
    <col min="9226" max="9226" width="10.5703125" style="65" customWidth="1"/>
    <col min="9227" max="9227" width="10.140625" style="65" customWidth="1"/>
    <col min="9228" max="9228" width="8.42578125" style="65" customWidth="1"/>
    <col min="9229" max="9229" width="18.85546875" style="65" customWidth="1"/>
    <col min="9230" max="9230" width="10.28515625" style="65" customWidth="1"/>
    <col min="9231" max="9231" width="11.42578125" style="65"/>
    <col min="9232" max="9232" width="12.140625" style="65" customWidth="1"/>
    <col min="9233" max="9233" width="10.5703125" style="65" customWidth="1"/>
    <col min="9234" max="9234" width="12.42578125" style="65" customWidth="1"/>
    <col min="9235" max="9235" width="15.140625" style="65" customWidth="1"/>
    <col min="9236" max="9236" width="13.5703125" style="65" customWidth="1"/>
    <col min="9237" max="9237" width="13.140625" style="65" customWidth="1"/>
    <col min="9238" max="9238" width="15.7109375" style="65" customWidth="1"/>
    <col min="9239" max="9239" width="37.5703125" style="65" customWidth="1"/>
    <col min="9240" max="9461" width="11.42578125" style="65"/>
    <col min="9462" max="9462" width="10.5703125" style="65" customWidth="1"/>
    <col min="9463" max="9463" width="4.85546875" style="65" customWidth="1"/>
    <col min="9464" max="9464" width="32.42578125" style="65" customWidth="1"/>
    <col min="9465" max="9465" width="9.85546875" style="65" customWidth="1"/>
    <col min="9466" max="9466" width="10.140625" style="65" customWidth="1"/>
    <col min="9467" max="9467" width="12.28515625" style="65" customWidth="1"/>
    <col min="9468" max="9468" width="15.42578125" style="65" customWidth="1"/>
    <col min="9469" max="9469" width="11.85546875" style="65" customWidth="1"/>
    <col min="9470" max="9470" width="13.28515625" style="65" customWidth="1"/>
    <col min="9471" max="9471" width="15.28515625" style="65" customWidth="1"/>
    <col min="9472" max="9472" width="11.85546875" style="65" customWidth="1"/>
    <col min="9473" max="9473" width="6.140625" style="65" customWidth="1"/>
    <col min="9474" max="9474" width="11.85546875" style="65" customWidth="1"/>
    <col min="9475" max="9475" width="9.42578125" style="65" customWidth="1"/>
    <col min="9476" max="9476" width="14.7109375" style="65" customWidth="1"/>
    <col min="9477" max="9477" width="11.5703125" style="65" customWidth="1"/>
    <col min="9478" max="9478" width="0.42578125" style="65" customWidth="1"/>
    <col min="9479" max="9479" width="10.5703125" style="65" bestFit="1" customWidth="1"/>
    <col min="9480" max="9480" width="12.28515625" style="65" customWidth="1"/>
    <col min="9481" max="9481" width="12.5703125" style="65" customWidth="1"/>
    <col min="9482" max="9482" width="10.5703125" style="65" customWidth="1"/>
    <col min="9483" max="9483" width="10.140625" style="65" customWidth="1"/>
    <col min="9484" max="9484" width="8.42578125" style="65" customWidth="1"/>
    <col min="9485" max="9485" width="18.85546875" style="65" customWidth="1"/>
    <col min="9486" max="9486" width="10.28515625" style="65" customWidth="1"/>
    <col min="9487" max="9487" width="11.42578125" style="65"/>
    <col min="9488" max="9488" width="12.140625" style="65" customWidth="1"/>
    <col min="9489" max="9489" width="10.5703125" style="65" customWidth="1"/>
    <col min="9490" max="9490" width="12.42578125" style="65" customWidth="1"/>
    <col min="9491" max="9491" width="15.140625" style="65" customWidth="1"/>
    <col min="9492" max="9492" width="13.5703125" style="65" customWidth="1"/>
    <col min="9493" max="9493" width="13.140625" style="65" customWidth="1"/>
    <col min="9494" max="9494" width="15.7109375" style="65" customWidth="1"/>
    <col min="9495" max="9495" width="37.5703125" style="65" customWidth="1"/>
    <col min="9496" max="9717" width="11.42578125" style="65"/>
    <col min="9718" max="9718" width="10.5703125" style="65" customWidth="1"/>
    <col min="9719" max="9719" width="4.85546875" style="65" customWidth="1"/>
    <col min="9720" max="9720" width="32.42578125" style="65" customWidth="1"/>
    <col min="9721" max="9721" width="9.85546875" style="65" customWidth="1"/>
    <col min="9722" max="9722" width="10.140625" style="65" customWidth="1"/>
    <col min="9723" max="9723" width="12.28515625" style="65" customWidth="1"/>
    <col min="9724" max="9724" width="15.42578125" style="65" customWidth="1"/>
    <col min="9725" max="9725" width="11.85546875" style="65" customWidth="1"/>
    <col min="9726" max="9726" width="13.28515625" style="65" customWidth="1"/>
    <col min="9727" max="9727" width="15.28515625" style="65" customWidth="1"/>
    <col min="9728" max="9728" width="11.85546875" style="65" customWidth="1"/>
    <col min="9729" max="9729" width="6.140625" style="65" customWidth="1"/>
    <col min="9730" max="9730" width="11.85546875" style="65" customWidth="1"/>
    <col min="9731" max="9731" width="9.42578125" style="65" customWidth="1"/>
    <col min="9732" max="9732" width="14.7109375" style="65" customWidth="1"/>
    <col min="9733" max="9733" width="11.5703125" style="65" customWidth="1"/>
    <col min="9734" max="9734" width="0.42578125" style="65" customWidth="1"/>
    <col min="9735" max="9735" width="10.5703125" style="65" bestFit="1" customWidth="1"/>
    <col min="9736" max="9736" width="12.28515625" style="65" customWidth="1"/>
    <col min="9737" max="9737" width="12.5703125" style="65" customWidth="1"/>
    <col min="9738" max="9738" width="10.5703125" style="65" customWidth="1"/>
    <col min="9739" max="9739" width="10.140625" style="65" customWidth="1"/>
    <col min="9740" max="9740" width="8.42578125" style="65" customWidth="1"/>
    <col min="9741" max="9741" width="18.85546875" style="65" customWidth="1"/>
    <col min="9742" max="9742" width="10.28515625" style="65" customWidth="1"/>
    <col min="9743" max="9743" width="11.42578125" style="65"/>
    <col min="9744" max="9744" width="12.140625" style="65" customWidth="1"/>
    <col min="9745" max="9745" width="10.5703125" style="65" customWidth="1"/>
    <col min="9746" max="9746" width="12.42578125" style="65" customWidth="1"/>
    <col min="9747" max="9747" width="15.140625" style="65" customWidth="1"/>
    <col min="9748" max="9748" width="13.5703125" style="65" customWidth="1"/>
    <col min="9749" max="9749" width="13.140625" style="65" customWidth="1"/>
    <col min="9750" max="9750" width="15.7109375" style="65" customWidth="1"/>
    <col min="9751" max="9751" width="37.5703125" style="65" customWidth="1"/>
    <col min="9752" max="9973" width="11.42578125" style="65"/>
    <col min="9974" max="9974" width="10.5703125" style="65" customWidth="1"/>
    <col min="9975" max="9975" width="4.85546875" style="65" customWidth="1"/>
    <col min="9976" max="9976" width="32.42578125" style="65" customWidth="1"/>
    <col min="9977" max="9977" width="9.85546875" style="65" customWidth="1"/>
    <col min="9978" max="9978" width="10.140625" style="65" customWidth="1"/>
    <col min="9979" max="9979" width="12.28515625" style="65" customWidth="1"/>
    <col min="9980" max="9980" width="15.42578125" style="65" customWidth="1"/>
    <col min="9981" max="9981" width="11.85546875" style="65" customWidth="1"/>
    <col min="9982" max="9982" width="13.28515625" style="65" customWidth="1"/>
    <col min="9983" max="9983" width="15.28515625" style="65" customWidth="1"/>
    <col min="9984" max="9984" width="11.85546875" style="65" customWidth="1"/>
    <col min="9985" max="9985" width="6.140625" style="65" customWidth="1"/>
    <col min="9986" max="9986" width="11.85546875" style="65" customWidth="1"/>
    <col min="9987" max="9987" width="9.42578125" style="65" customWidth="1"/>
    <col min="9988" max="9988" width="14.7109375" style="65" customWidth="1"/>
    <col min="9989" max="9989" width="11.5703125" style="65" customWidth="1"/>
    <col min="9990" max="9990" width="0.42578125" style="65" customWidth="1"/>
    <col min="9991" max="9991" width="10.5703125" style="65" bestFit="1" customWidth="1"/>
    <col min="9992" max="9992" width="12.28515625" style="65" customWidth="1"/>
    <col min="9993" max="9993" width="12.5703125" style="65" customWidth="1"/>
    <col min="9994" max="9994" width="10.5703125" style="65" customWidth="1"/>
    <col min="9995" max="9995" width="10.140625" style="65" customWidth="1"/>
    <col min="9996" max="9996" width="8.42578125" style="65" customWidth="1"/>
    <col min="9997" max="9997" width="18.85546875" style="65" customWidth="1"/>
    <col min="9998" max="9998" width="10.28515625" style="65" customWidth="1"/>
    <col min="9999" max="9999" width="11.42578125" style="65"/>
    <col min="10000" max="10000" width="12.140625" style="65" customWidth="1"/>
    <col min="10001" max="10001" width="10.5703125" style="65" customWidth="1"/>
    <col min="10002" max="10002" width="12.42578125" style="65" customWidth="1"/>
    <col min="10003" max="10003" width="15.140625" style="65" customWidth="1"/>
    <col min="10004" max="10004" width="13.5703125" style="65" customWidth="1"/>
    <col min="10005" max="10005" width="13.140625" style="65" customWidth="1"/>
    <col min="10006" max="10006" width="15.7109375" style="65" customWidth="1"/>
    <col min="10007" max="10007" width="37.5703125" style="65" customWidth="1"/>
    <col min="10008" max="10229" width="11.42578125" style="65"/>
    <col min="10230" max="10230" width="10.5703125" style="65" customWidth="1"/>
    <col min="10231" max="10231" width="4.85546875" style="65" customWidth="1"/>
    <col min="10232" max="10232" width="32.42578125" style="65" customWidth="1"/>
    <col min="10233" max="10233" width="9.85546875" style="65" customWidth="1"/>
    <col min="10234" max="10234" width="10.140625" style="65" customWidth="1"/>
    <col min="10235" max="10235" width="12.28515625" style="65" customWidth="1"/>
    <col min="10236" max="10236" width="15.42578125" style="65" customWidth="1"/>
    <col min="10237" max="10237" width="11.85546875" style="65" customWidth="1"/>
    <col min="10238" max="10238" width="13.28515625" style="65" customWidth="1"/>
    <col min="10239" max="10239" width="15.28515625" style="65" customWidth="1"/>
    <col min="10240" max="10240" width="11.85546875" style="65" customWidth="1"/>
    <col min="10241" max="10241" width="6.140625" style="65" customWidth="1"/>
    <col min="10242" max="10242" width="11.85546875" style="65" customWidth="1"/>
    <col min="10243" max="10243" width="9.42578125" style="65" customWidth="1"/>
    <col min="10244" max="10244" width="14.7109375" style="65" customWidth="1"/>
    <col min="10245" max="10245" width="11.5703125" style="65" customWidth="1"/>
    <col min="10246" max="10246" width="0.42578125" style="65" customWidth="1"/>
    <col min="10247" max="10247" width="10.5703125" style="65" bestFit="1" customWidth="1"/>
    <col min="10248" max="10248" width="12.28515625" style="65" customWidth="1"/>
    <col min="10249" max="10249" width="12.5703125" style="65" customWidth="1"/>
    <col min="10250" max="10250" width="10.5703125" style="65" customWidth="1"/>
    <col min="10251" max="10251" width="10.140625" style="65" customWidth="1"/>
    <col min="10252" max="10252" width="8.42578125" style="65" customWidth="1"/>
    <col min="10253" max="10253" width="18.85546875" style="65" customWidth="1"/>
    <col min="10254" max="10254" width="10.28515625" style="65" customWidth="1"/>
    <col min="10255" max="10255" width="11.42578125" style="65"/>
    <col min="10256" max="10256" width="12.140625" style="65" customWidth="1"/>
    <col min="10257" max="10257" width="10.5703125" style="65" customWidth="1"/>
    <col min="10258" max="10258" width="12.42578125" style="65" customWidth="1"/>
    <col min="10259" max="10259" width="15.140625" style="65" customWidth="1"/>
    <col min="10260" max="10260" width="13.5703125" style="65" customWidth="1"/>
    <col min="10261" max="10261" width="13.140625" style="65" customWidth="1"/>
    <col min="10262" max="10262" width="15.7109375" style="65" customWidth="1"/>
    <col min="10263" max="10263" width="37.5703125" style="65" customWidth="1"/>
    <col min="10264" max="10485" width="11.42578125" style="65"/>
    <col min="10486" max="10486" width="10.5703125" style="65" customWidth="1"/>
    <col min="10487" max="10487" width="4.85546875" style="65" customWidth="1"/>
    <col min="10488" max="10488" width="32.42578125" style="65" customWidth="1"/>
    <col min="10489" max="10489" width="9.85546875" style="65" customWidth="1"/>
    <col min="10490" max="10490" width="10.140625" style="65" customWidth="1"/>
    <col min="10491" max="10491" width="12.28515625" style="65" customWidth="1"/>
    <col min="10492" max="10492" width="15.42578125" style="65" customWidth="1"/>
    <col min="10493" max="10493" width="11.85546875" style="65" customWidth="1"/>
    <col min="10494" max="10494" width="13.28515625" style="65" customWidth="1"/>
    <col min="10495" max="10495" width="15.28515625" style="65" customWidth="1"/>
    <col min="10496" max="10496" width="11.85546875" style="65" customWidth="1"/>
    <col min="10497" max="10497" width="6.140625" style="65" customWidth="1"/>
    <col min="10498" max="10498" width="11.85546875" style="65" customWidth="1"/>
    <col min="10499" max="10499" width="9.42578125" style="65" customWidth="1"/>
    <col min="10500" max="10500" width="14.7109375" style="65" customWidth="1"/>
    <col min="10501" max="10501" width="11.5703125" style="65" customWidth="1"/>
    <col min="10502" max="10502" width="0.42578125" style="65" customWidth="1"/>
    <col min="10503" max="10503" width="10.5703125" style="65" bestFit="1" customWidth="1"/>
    <col min="10504" max="10504" width="12.28515625" style="65" customWidth="1"/>
    <col min="10505" max="10505" width="12.5703125" style="65" customWidth="1"/>
    <col min="10506" max="10506" width="10.5703125" style="65" customWidth="1"/>
    <col min="10507" max="10507" width="10.140625" style="65" customWidth="1"/>
    <col min="10508" max="10508" width="8.42578125" style="65" customWidth="1"/>
    <col min="10509" max="10509" width="18.85546875" style="65" customWidth="1"/>
    <col min="10510" max="10510" width="10.28515625" style="65" customWidth="1"/>
    <col min="10511" max="10511" width="11.42578125" style="65"/>
    <col min="10512" max="10512" width="12.140625" style="65" customWidth="1"/>
    <col min="10513" max="10513" width="10.5703125" style="65" customWidth="1"/>
    <col min="10514" max="10514" width="12.42578125" style="65" customWidth="1"/>
    <col min="10515" max="10515" width="15.140625" style="65" customWidth="1"/>
    <col min="10516" max="10516" width="13.5703125" style="65" customWidth="1"/>
    <col min="10517" max="10517" width="13.140625" style="65" customWidth="1"/>
    <col min="10518" max="10518" width="15.7109375" style="65" customWidth="1"/>
    <col min="10519" max="10519" width="37.5703125" style="65" customWidth="1"/>
    <col min="10520" max="10741" width="11.42578125" style="65"/>
    <col min="10742" max="10742" width="10.5703125" style="65" customWidth="1"/>
    <col min="10743" max="10743" width="4.85546875" style="65" customWidth="1"/>
    <col min="10744" max="10744" width="32.42578125" style="65" customWidth="1"/>
    <col min="10745" max="10745" width="9.85546875" style="65" customWidth="1"/>
    <col min="10746" max="10746" width="10.140625" style="65" customWidth="1"/>
    <col min="10747" max="10747" width="12.28515625" style="65" customWidth="1"/>
    <col min="10748" max="10748" width="15.42578125" style="65" customWidth="1"/>
    <col min="10749" max="10749" width="11.85546875" style="65" customWidth="1"/>
    <col min="10750" max="10750" width="13.28515625" style="65" customWidth="1"/>
    <col min="10751" max="10751" width="15.28515625" style="65" customWidth="1"/>
    <col min="10752" max="10752" width="11.85546875" style="65" customWidth="1"/>
    <col min="10753" max="10753" width="6.140625" style="65" customWidth="1"/>
    <col min="10754" max="10754" width="11.85546875" style="65" customWidth="1"/>
    <col min="10755" max="10755" width="9.42578125" style="65" customWidth="1"/>
    <col min="10756" max="10756" width="14.7109375" style="65" customWidth="1"/>
    <col min="10757" max="10757" width="11.5703125" style="65" customWidth="1"/>
    <col min="10758" max="10758" width="0.42578125" style="65" customWidth="1"/>
    <col min="10759" max="10759" width="10.5703125" style="65" bestFit="1" customWidth="1"/>
    <col min="10760" max="10760" width="12.28515625" style="65" customWidth="1"/>
    <col min="10761" max="10761" width="12.5703125" style="65" customWidth="1"/>
    <col min="10762" max="10762" width="10.5703125" style="65" customWidth="1"/>
    <col min="10763" max="10763" width="10.140625" style="65" customWidth="1"/>
    <col min="10764" max="10764" width="8.42578125" style="65" customWidth="1"/>
    <col min="10765" max="10765" width="18.85546875" style="65" customWidth="1"/>
    <col min="10766" max="10766" width="10.28515625" style="65" customWidth="1"/>
    <col min="10767" max="10767" width="11.42578125" style="65"/>
    <col min="10768" max="10768" width="12.140625" style="65" customWidth="1"/>
    <col min="10769" max="10769" width="10.5703125" style="65" customWidth="1"/>
    <col min="10770" max="10770" width="12.42578125" style="65" customWidth="1"/>
    <col min="10771" max="10771" width="15.140625" style="65" customWidth="1"/>
    <col min="10772" max="10772" width="13.5703125" style="65" customWidth="1"/>
    <col min="10773" max="10773" width="13.140625" style="65" customWidth="1"/>
    <col min="10774" max="10774" width="15.7109375" style="65" customWidth="1"/>
    <col min="10775" max="10775" width="37.5703125" style="65" customWidth="1"/>
    <col min="10776" max="10997" width="11.42578125" style="65"/>
    <col min="10998" max="10998" width="10.5703125" style="65" customWidth="1"/>
    <col min="10999" max="10999" width="4.85546875" style="65" customWidth="1"/>
    <col min="11000" max="11000" width="32.42578125" style="65" customWidth="1"/>
    <col min="11001" max="11001" width="9.85546875" style="65" customWidth="1"/>
    <col min="11002" max="11002" width="10.140625" style="65" customWidth="1"/>
    <col min="11003" max="11003" width="12.28515625" style="65" customWidth="1"/>
    <col min="11004" max="11004" width="15.42578125" style="65" customWidth="1"/>
    <col min="11005" max="11005" width="11.85546875" style="65" customWidth="1"/>
    <col min="11006" max="11006" width="13.28515625" style="65" customWidth="1"/>
    <col min="11007" max="11007" width="15.28515625" style="65" customWidth="1"/>
    <col min="11008" max="11008" width="11.85546875" style="65" customWidth="1"/>
    <col min="11009" max="11009" width="6.140625" style="65" customWidth="1"/>
    <col min="11010" max="11010" width="11.85546875" style="65" customWidth="1"/>
    <col min="11011" max="11011" width="9.42578125" style="65" customWidth="1"/>
    <col min="11012" max="11012" width="14.7109375" style="65" customWidth="1"/>
    <col min="11013" max="11013" width="11.5703125" style="65" customWidth="1"/>
    <col min="11014" max="11014" width="0.42578125" style="65" customWidth="1"/>
    <col min="11015" max="11015" width="10.5703125" style="65" bestFit="1" customWidth="1"/>
    <col min="11016" max="11016" width="12.28515625" style="65" customWidth="1"/>
    <col min="11017" max="11017" width="12.5703125" style="65" customWidth="1"/>
    <col min="11018" max="11018" width="10.5703125" style="65" customWidth="1"/>
    <col min="11019" max="11019" width="10.140625" style="65" customWidth="1"/>
    <col min="11020" max="11020" width="8.42578125" style="65" customWidth="1"/>
    <col min="11021" max="11021" width="18.85546875" style="65" customWidth="1"/>
    <col min="11022" max="11022" width="10.28515625" style="65" customWidth="1"/>
    <col min="11023" max="11023" width="11.42578125" style="65"/>
    <col min="11024" max="11024" width="12.140625" style="65" customWidth="1"/>
    <col min="11025" max="11025" width="10.5703125" style="65" customWidth="1"/>
    <col min="11026" max="11026" width="12.42578125" style="65" customWidth="1"/>
    <col min="11027" max="11027" width="15.140625" style="65" customWidth="1"/>
    <col min="11028" max="11028" width="13.5703125" style="65" customWidth="1"/>
    <col min="11029" max="11029" width="13.140625" style="65" customWidth="1"/>
    <col min="11030" max="11030" width="15.7109375" style="65" customWidth="1"/>
    <col min="11031" max="11031" width="37.5703125" style="65" customWidth="1"/>
    <col min="11032" max="11253" width="11.42578125" style="65"/>
    <col min="11254" max="11254" width="10.5703125" style="65" customWidth="1"/>
    <col min="11255" max="11255" width="4.85546875" style="65" customWidth="1"/>
    <col min="11256" max="11256" width="32.42578125" style="65" customWidth="1"/>
    <col min="11257" max="11257" width="9.85546875" style="65" customWidth="1"/>
    <col min="11258" max="11258" width="10.140625" style="65" customWidth="1"/>
    <col min="11259" max="11259" width="12.28515625" style="65" customWidth="1"/>
    <col min="11260" max="11260" width="15.42578125" style="65" customWidth="1"/>
    <col min="11261" max="11261" width="11.85546875" style="65" customWidth="1"/>
    <col min="11262" max="11262" width="13.28515625" style="65" customWidth="1"/>
    <col min="11263" max="11263" width="15.28515625" style="65" customWidth="1"/>
    <col min="11264" max="11264" width="11.85546875" style="65" customWidth="1"/>
    <col min="11265" max="11265" width="6.140625" style="65" customWidth="1"/>
    <col min="11266" max="11266" width="11.85546875" style="65" customWidth="1"/>
    <col min="11267" max="11267" width="9.42578125" style="65" customWidth="1"/>
    <col min="11268" max="11268" width="14.7109375" style="65" customWidth="1"/>
    <col min="11269" max="11269" width="11.5703125" style="65" customWidth="1"/>
    <col min="11270" max="11270" width="0.42578125" style="65" customWidth="1"/>
    <col min="11271" max="11271" width="10.5703125" style="65" bestFit="1" customWidth="1"/>
    <col min="11272" max="11272" width="12.28515625" style="65" customWidth="1"/>
    <col min="11273" max="11273" width="12.5703125" style="65" customWidth="1"/>
    <col min="11274" max="11274" width="10.5703125" style="65" customWidth="1"/>
    <col min="11275" max="11275" width="10.140625" style="65" customWidth="1"/>
    <col min="11276" max="11276" width="8.42578125" style="65" customWidth="1"/>
    <col min="11277" max="11277" width="18.85546875" style="65" customWidth="1"/>
    <col min="11278" max="11278" width="10.28515625" style="65" customWidth="1"/>
    <col min="11279" max="11279" width="11.42578125" style="65"/>
    <col min="11280" max="11280" width="12.140625" style="65" customWidth="1"/>
    <col min="11281" max="11281" width="10.5703125" style="65" customWidth="1"/>
    <col min="11282" max="11282" width="12.42578125" style="65" customWidth="1"/>
    <col min="11283" max="11283" width="15.140625" style="65" customWidth="1"/>
    <col min="11284" max="11284" width="13.5703125" style="65" customWidth="1"/>
    <col min="11285" max="11285" width="13.140625" style="65" customWidth="1"/>
    <col min="11286" max="11286" width="15.7109375" style="65" customWidth="1"/>
    <col min="11287" max="11287" width="37.5703125" style="65" customWidth="1"/>
    <col min="11288" max="11509" width="11.42578125" style="65"/>
    <col min="11510" max="11510" width="10.5703125" style="65" customWidth="1"/>
    <col min="11511" max="11511" width="4.85546875" style="65" customWidth="1"/>
    <col min="11512" max="11512" width="32.42578125" style="65" customWidth="1"/>
    <col min="11513" max="11513" width="9.85546875" style="65" customWidth="1"/>
    <col min="11514" max="11514" width="10.140625" style="65" customWidth="1"/>
    <col min="11515" max="11515" width="12.28515625" style="65" customWidth="1"/>
    <col min="11516" max="11516" width="15.42578125" style="65" customWidth="1"/>
    <col min="11517" max="11517" width="11.85546875" style="65" customWidth="1"/>
    <col min="11518" max="11518" width="13.28515625" style="65" customWidth="1"/>
    <col min="11519" max="11519" width="15.28515625" style="65" customWidth="1"/>
    <col min="11520" max="11520" width="11.85546875" style="65" customWidth="1"/>
    <col min="11521" max="11521" width="6.140625" style="65" customWidth="1"/>
    <col min="11522" max="11522" width="11.85546875" style="65" customWidth="1"/>
    <col min="11523" max="11523" width="9.42578125" style="65" customWidth="1"/>
    <col min="11524" max="11524" width="14.7109375" style="65" customWidth="1"/>
    <col min="11525" max="11525" width="11.5703125" style="65" customWidth="1"/>
    <col min="11526" max="11526" width="0.42578125" style="65" customWidth="1"/>
    <col min="11527" max="11527" width="10.5703125" style="65" bestFit="1" customWidth="1"/>
    <col min="11528" max="11528" width="12.28515625" style="65" customWidth="1"/>
    <col min="11529" max="11529" width="12.5703125" style="65" customWidth="1"/>
    <col min="11530" max="11530" width="10.5703125" style="65" customWidth="1"/>
    <col min="11531" max="11531" width="10.140625" style="65" customWidth="1"/>
    <col min="11532" max="11532" width="8.42578125" style="65" customWidth="1"/>
    <col min="11533" max="11533" width="18.85546875" style="65" customWidth="1"/>
    <col min="11534" max="11534" width="10.28515625" style="65" customWidth="1"/>
    <col min="11535" max="11535" width="11.42578125" style="65"/>
    <col min="11536" max="11536" width="12.140625" style="65" customWidth="1"/>
    <col min="11537" max="11537" width="10.5703125" style="65" customWidth="1"/>
    <col min="11538" max="11538" width="12.42578125" style="65" customWidth="1"/>
    <col min="11539" max="11539" width="15.140625" style="65" customWidth="1"/>
    <col min="11540" max="11540" width="13.5703125" style="65" customWidth="1"/>
    <col min="11541" max="11541" width="13.140625" style="65" customWidth="1"/>
    <col min="11542" max="11542" width="15.7109375" style="65" customWidth="1"/>
    <col min="11543" max="11543" width="37.5703125" style="65" customWidth="1"/>
    <col min="11544" max="11765" width="11.42578125" style="65"/>
    <col min="11766" max="11766" width="10.5703125" style="65" customWidth="1"/>
    <col min="11767" max="11767" width="4.85546875" style="65" customWidth="1"/>
    <col min="11768" max="11768" width="32.42578125" style="65" customWidth="1"/>
    <col min="11769" max="11769" width="9.85546875" style="65" customWidth="1"/>
    <col min="11770" max="11770" width="10.140625" style="65" customWidth="1"/>
    <col min="11771" max="11771" width="12.28515625" style="65" customWidth="1"/>
    <col min="11772" max="11772" width="15.42578125" style="65" customWidth="1"/>
    <col min="11773" max="11773" width="11.85546875" style="65" customWidth="1"/>
    <col min="11774" max="11774" width="13.28515625" style="65" customWidth="1"/>
    <col min="11775" max="11775" width="15.28515625" style="65" customWidth="1"/>
    <col min="11776" max="11776" width="11.85546875" style="65" customWidth="1"/>
    <col min="11777" max="11777" width="6.140625" style="65" customWidth="1"/>
    <col min="11778" max="11778" width="11.85546875" style="65" customWidth="1"/>
    <col min="11779" max="11779" width="9.42578125" style="65" customWidth="1"/>
    <col min="11780" max="11780" width="14.7109375" style="65" customWidth="1"/>
    <col min="11781" max="11781" width="11.5703125" style="65" customWidth="1"/>
    <col min="11782" max="11782" width="0.42578125" style="65" customWidth="1"/>
    <col min="11783" max="11783" width="10.5703125" style="65" bestFit="1" customWidth="1"/>
    <col min="11784" max="11784" width="12.28515625" style="65" customWidth="1"/>
    <col min="11785" max="11785" width="12.5703125" style="65" customWidth="1"/>
    <col min="11786" max="11786" width="10.5703125" style="65" customWidth="1"/>
    <col min="11787" max="11787" width="10.140625" style="65" customWidth="1"/>
    <col min="11788" max="11788" width="8.42578125" style="65" customWidth="1"/>
    <col min="11789" max="11789" width="18.85546875" style="65" customWidth="1"/>
    <col min="11790" max="11790" width="10.28515625" style="65" customWidth="1"/>
    <col min="11791" max="11791" width="11.42578125" style="65"/>
    <col min="11792" max="11792" width="12.140625" style="65" customWidth="1"/>
    <col min="11793" max="11793" width="10.5703125" style="65" customWidth="1"/>
    <col min="11794" max="11794" width="12.42578125" style="65" customWidth="1"/>
    <col min="11795" max="11795" width="15.140625" style="65" customWidth="1"/>
    <col min="11796" max="11796" width="13.5703125" style="65" customWidth="1"/>
    <col min="11797" max="11797" width="13.140625" style="65" customWidth="1"/>
    <col min="11798" max="11798" width="15.7109375" style="65" customWidth="1"/>
    <col min="11799" max="11799" width="37.5703125" style="65" customWidth="1"/>
    <col min="11800" max="12021" width="11.42578125" style="65"/>
    <col min="12022" max="12022" width="10.5703125" style="65" customWidth="1"/>
    <col min="12023" max="12023" width="4.85546875" style="65" customWidth="1"/>
    <col min="12024" max="12024" width="32.42578125" style="65" customWidth="1"/>
    <col min="12025" max="12025" width="9.85546875" style="65" customWidth="1"/>
    <col min="12026" max="12026" width="10.140625" style="65" customWidth="1"/>
    <col min="12027" max="12027" width="12.28515625" style="65" customWidth="1"/>
    <col min="12028" max="12028" width="15.42578125" style="65" customWidth="1"/>
    <col min="12029" max="12029" width="11.85546875" style="65" customWidth="1"/>
    <col min="12030" max="12030" width="13.28515625" style="65" customWidth="1"/>
    <col min="12031" max="12031" width="15.28515625" style="65" customWidth="1"/>
    <col min="12032" max="12032" width="11.85546875" style="65" customWidth="1"/>
    <col min="12033" max="12033" width="6.140625" style="65" customWidth="1"/>
    <col min="12034" max="12034" width="11.85546875" style="65" customWidth="1"/>
    <col min="12035" max="12035" width="9.42578125" style="65" customWidth="1"/>
    <col min="12036" max="12036" width="14.7109375" style="65" customWidth="1"/>
    <col min="12037" max="12037" width="11.5703125" style="65" customWidth="1"/>
    <col min="12038" max="12038" width="0.42578125" style="65" customWidth="1"/>
    <col min="12039" max="12039" width="10.5703125" style="65" bestFit="1" customWidth="1"/>
    <col min="12040" max="12040" width="12.28515625" style="65" customWidth="1"/>
    <col min="12041" max="12041" width="12.5703125" style="65" customWidth="1"/>
    <col min="12042" max="12042" width="10.5703125" style="65" customWidth="1"/>
    <col min="12043" max="12043" width="10.140625" style="65" customWidth="1"/>
    <col min="12044" max="12044" width="8.42578125" style="65" customWidth="1"/>
    <col min="12045" max="12045" width="18.85546875" style="65" customWidth="1"/>
    <col min="12046" max="12046" width="10.28515625" style="65" customWidth="1"/>
    <col min="12047" max="12047" width="11.42578125" style="65"/>
    <col min="12048" max="12048" width="12.140625" style="65" customWidth="1"/>
    <col min="12049" max="12049" width="10.5703125" style="65" customWidth="1"/>
    <col min="12050" max="12050" width="12.42578125" style="65" customWidth="1"/>
    <col min="12051" max="12051" width="15.140625" style="65" customWidth="1"/>
    <col min="12052" max="12052" width="13.5703125" style="65" customWidth="1"/>
    <col min="12053" max="12053" width="13.140625" style="65" customWidth="1"/>
    <col min="12054" max="12054" width="15.7109375" style="65" customWidth="1"/>
    <col min="12055" max="12055" width="37.5703125" style="65" customWidth="1"/>
    <col min="12056" max="12277" width="11.42578125" style="65"/>
    <col min="12278" max="12278" width="10.5703125" style="65" customWidth="1"/>
    <col min="12279" max="12279" width="4.85546875" style="65" customWidth="1"/>
    <col min="12280" max="12280" width="32.42578125" style="65" customWidth="1"/>
    <col min="12281" max="12281" width="9.85546875" style="65" customWidth="1"/>
    <col min="12282" max="12282" width="10.140625" style="65" customWidth="1"/>
    <col min="12283" max="12283" width="12.28515625" style="65" customWidth="1"/>
    <col min="12284" max="12284" width="15.42578125" style="65" customWidth="1"/>
    <col min="12285" max="12285" width="11.85546875" style="65" customWidth="1"/>
    <col min="12286" max="12286" width="13.28515625" style="65" customWidth="1"/>
    <col min="12287" max="12287" width="15.28515625" style="65" customWidth="1"/>
    <col min="12288" max="12288" width="11.85546875" style="65" customWidth="1"/>
    <col min="12289" max="12289" width="6.140625" style="65" customWidth="1"/>
    <col min="12290" max="12290" width="11.85546875" style="65" customWidth="1"/>
    <col min="12291" max="12291" width="9.42578125" style="65" customWidth="1"/>
    <col min="12292" max="12292" width="14.7109375" style="65" customWidth="1"/>
    <col min="12293" max="12293" width="11.5703125" style="65" customWidth="1"/>
    <col min="12294" max="12294" width="0.42578125" style="65" customWidth="1"/>
    <col min="12295" max="12295" width="10.5703125" style="65" bestFit="1" customWidth="1"/>
    <col min="12296" max="12296" width="12.28515625" style="65" customWidth="1"/>
    <col min="12297" max="12297" width="12.5703125" style="65" customWidth="1"/>
    <col min="12298" max="12298" width="10.5703125" style="65" customWidth="1"/>
    <col min="12299" max="12299" width="10.140625" style="65" customWidth="1"/>
    <col min="12300" max="12300" width="8.42578125" style="65" customWidth="1"/>
    <col min="12301" max="12301" width="18.85546875" style="65" customWidth="1"/>
    <col min="12302" max="12302" width="10.28515625" style="65" customWidth="1"/>
    <col min="12303" max="12303" width="11.42578125" style="65"/>
    <col min="12304" max="12304" width="12.140625" style="65" customWidth="1"/>
    <col min="12305" max="12305" width="10.5703125" style="65" customWidth="1"/>
    <col min="12306" max="12306" width="12.42578125" style="65" customWidth="1"/>
    <col min="12307" max="12307" width="15.140625" style="65" customWidth="1"/>
    <col min="12308" max="12308" width="13.5703125" style="65" customWidth="1"/>
    <col min="12309" max="12309" width="13.140625" style="65" customWidth="1"/>
    <col min="12310" max="12310" width="15.7109375" style="65" customWidth="1"/>
    <col min="12311" max="12311" width="37.5703125" style="65" customWidth="1"/>
    <col min="12312" max="12533" width="11.42578125" style="65"/>
    <col min="12534" max="12534" width="10.5703125" style="65" customWidth="1"/>
    <col min="12535" max="12535" width="4.85546875" style="65" customWidth="1"/>
    <col min="12536" max="12536" width="32.42578125" style="65" customWidth="1"/>
    <col min="12537" max="12537" width="9.85546875" style="65" customWidth="1"/>
    <col min="12538" max="12538" width="10.140625" style="65" customWidth="1"/>
    <col min="12539" max="12539" width="12.28515625" style="65" customWidth="1"/>
    <col min="12540" max="12540" width="15.42578125" style="65" customWidth="1"/>
    <col min="12541" max="12541" width="11.85546875" style="65" customWidth="1"/>
    <col min="12542" max="12542" width="13.28515625" style="65" customWidth="1"/>
    <col min="12543" max="12543" width="15.28515625" style="65" customWidth="1"/>
    <col min="12544" max="12544" width="11.85546875" style="65" customWidth="1"/>
    <col min="12545" max="12545" width="6.140625" style="65" customWidth="1"/>
    <col min="12546" max="12546" width="11.85546875" style="65" customWidth="1"/>
    <col min="12547" max="12547" width="9.42578125" style="65" customWidth="1"/>
    <col min="12548" max="12548" width="14.7109375" style="65" customWidth="1"/>
    <col min="12549" max="12549" width="11.5703125" style="65" customWidth="1"/>
    <col min="12550" max="12550" width="0.42578125" style="65" customWidth="1"/>
    <col min="12551" max="12551" width="10.5703125" style="65" bestFit="1" customWidth="1"/>
    <col min="12552" max="12552" width="12.28515625" style="65" customWidth="1"/>
    <col min="12553" max="12553" width="12.5703125" style="65" customWidth="1"/>
    <col min="12554" max="12554" width="10.5703125" style="65" customWidth="1"/>
    <col min="12555" max="12555" width="10.140625" style="65" customWidth="1"/>
    <col min="12556" max="12556" width="8.42578125" style="65" customWidth="1"/>
    <col min="12557" max="12557" width="18.85546875" style="65" customWidth="1"/>
    <col min="12558" max="12558" width="10.28515625" style="65" customWidth="1"/>
    <col min="12559" max="12559" width="11.42578125" style="65"/>
    <col min="12560" max="12560" width="12.140625" style="65" customWidth="1"/>
    <col min="12561" max="12561" width="10.5703125" style="65" customWidth="1"/>
    <col min="12562" max="12562" width="12.42578125" style="65" customWidth="1"/>
    <col min="12563" max="12563" width="15.140625" style="65" customWidth="1"/>
    <col min="12564" max="12564" width="13.5703125" style="65" customWidth="1"/>
    <col min="12565" max="12565" width="13.140625" style="65" customWidth="1"/>
    <col min="12566" max="12566" width="15.7109375" style="65" customWidth="1"/>
    <col min="12567" max="12567" width="37.5703125" style="65" customWidth="1"/>
    <col min="12568" max="12789" width="11.42578125" style="65"/>
    <col min="12790" max="12790" width="10.5703125" style="65" customWidth="1"/>
    <col min="12791" max="12791" width="4.85546875" style="65" customWidth="1"/>
    <col min="12792" max="12792" width="32.42578125" style="65" customWidth="1"/>
    <col min="12793" max="12793" width="9.85546875" style="65" customWidth="1"/>
    <col min="12794" max="12794" width="10.140625" style="65" customWidth="1"/>
    <col min="12795" max="12795" width="12.28515625" style="65" customWidth="1"/>
    <col min="12796" max="12796" width="15.42578125" style="65" customWidth="1"/>
    <col min="12797" max="12797" width="11.85546875" style="65" customWidth="1"/>
    <col min="12798" max="12798" width="13.28515625" style="65" customWidth="1"/>
    <col min="12799" max="12799" width="15.28515625" style="65" customWidth="1"/>
    <col min="12800" max="12800" width="11.85546875" style="65" customWidth="1"/>
    <col min="12801" max="12801" width="6.140625" style="65" customWidth="1"/>
    <col min="12802" max="12802" width="11.85546875" style="65" customWidth="1"/>
    <col min="12803" max="12803" width="9.42578125" style="65" customWidth="1"/>
    <col min="12804" max="12804" width="14.7109375" style="65" customWidth="1"/>
    <col min="12805" max="12805" width="11.5703125" style="65" customWidth="1"/>
    <col min="12806" max="12806" width="0.42578125" style="65" customWidth="1"/>
    <col min="12807" max="12807" width="10.5703125" style="65" bestFit="1" customWidth="1"/>
    <col min="12808" max="12808" width="12.28515625" style="65" customWidth="1"/>
    <col min="12809" max="12809" width="12.5703125" style="65" customWidth="1"/>
    <col min="12810" max="12810" width="10.5703125" style="65" customWidth="1"/>
    <col min="12811" max="12811" width="10.140625" style="65" customWidth="1"/>
    <col min="12812" max="12812" width="8.42578125" style="65" customWidth="1"/>
    <col min="12813" max="12813" width="18.85546875" style="65" customWidth="1"/>
    <col min="12814" max="12814" width="10.28515625" style="65" customWidth="1"/>
    <col min="12815" max="12815" width="11.42578125" style="65"/>
    <col min="12816" max="12816" width="12.140625" style="65" customWidth="1"/>
    <col min="12817" max="12817" width="10.5703125" style="65" customWidth="1"/>
    <col min="12818" max="12818" width="12.42578125" style="65" customWidth="1"/>
    <col min="12819" max="12819" width="15.140625" style="65" customWidth="1"/>
    <col min="12820" max="12820" width="13.5703125" style="65" customWidth="1"/>
    <col min="12821" max="12821" width="13.140625" style="65" customWidth="1"/>
    <col min="12822" max="12822" width="15.7109375" style="65" customWidth="1"/>
    <col min="12823" max="12823" width="37.5703125" style="65" customWidth="1"/>
    <col min="12824" max="13045" width="11.42578125" style="65"/>
    <col min="13046" max="13046" width="10.5703125" style="65" customWidth="1"/>
    <col min="13047" max="13047" width="4.85546875" style="65" customWidth="1"/>
    <col min="13048" max="13048" width="32.42578125" style="65" customWidth="1"/>
    <col min="13049" max="13049" width="9.85546875" style="65" customWidth="1"/>
    <col min="13050" max="13050" width="10.140625" style="65" customWidth="1"/>
    <col min="13051" max="13051" width="12.28515625" style="65" customWidth="1"/>
    <col min="13052" max="13052" width="15.42578125" style="65" customWidth="1"/>
    <col min="13053" max="13053" width="11.85546875" style="65" customWidth="1"/>
    <col min="13054" max="13054" width="13.28515625" style="65" customWidth="1"/>
    <col min="13055" max="13055" width="15.28515625" style="65" customWidth="1"/>
    <col min="13056" max="13056" width="11.85546875" style="65" customWidth="1"/>
    <col min="13057" max="13057" width="6.140625" style="65" customWidth="1"/>
    <col min="13058" max="13058" width="11.85546875" style="65" customWidth="1"/>
    <col min="13059" max="13059" width="9.42578125" style="65" customWidth="1"/>
    <col min="13060" max="13060" width="14.7109375" style="65" customWidth="1"/>
    <col min="13061" max="13061" width="11.5703125" style="65" customWidth="1"/>
    <col min="13062" max="13062" width="0.42578125" style="65" customWidth="1"/>
    <col min="13063" max="13063" width="10.5703125" style="65" bestFit="1" customWidth="1"/>
    <col min="13064" max="13064" width="12.28515625" style="65" customWidth="1"/>
    <col min="13065" max="13065" width="12.5703125" style="65" customWidth="1"/>
    <col min="13066" max="13066" width="10.5703125" style="65" customWidth="1"/>
    <col min="13067" max="13067" width="10.140625" style="65" customWidth="1"/>
    <col min="13068" max="13068" width="8.42578125" style="65" customWidth="1"/>
    <col min="13069" max="13069" width="18.85546875" style="65" customWidth="1"/>
    <col min="13070" max="13070" width="10.28515625" style="65" customWidth="1"/>
    <col min="13071" max="13071" width="11.42578125" style="65"/>
    <col min="13072" max="13072" width="12.140625" style="65" customWidth="1"/>
    <col min="13073" max="13073" width="10.5703125" style="65" customWidth="1"/>
    <col min="13074" max="13074" width="12.42578125" style="65" customWidth="1"/>
    <col min="13075" max="13075" width="15.140625" style="65" customWidth="1"/>
    <col min="13076" max="13076" width="13.5703125" style="65" customWidth="1"/>
    <col min="13077" max="13077" width="13.140625" style="65" customWidth="1"/>
    <col min="13078" max="13078" width="15.7109375" style="65" customWidth="1"/>
    <col min="13079" max="13079" width="37.5703125" style="65" customWidth="1"/>
    <col min="13080" max="13301" width="11.42578125" style="65"/>
    <col min="13302" max="13302" width="10.5703125" style="65" customWidth="1"/>
    <col min="13303" max="13303" width="4.85546875" style="65" customWidth="1"/>
    <col min="13304" max="13304" width="32.42578125" style="65" customWidth="1"/>
    <col min="13305" max="13305" width="9.85546875" style="65" customWidth="1"/>
    <col min="13306" max="13306" width="10.140625" style="65" customWidth="1"/>
    <col min="13307" max="13307" width="12.28515625" style="65" customWidth="1"/>
    <col min="13308" max="13308" width="15.42578125" style="65" customWidth="1"/>
    <col min="13309" max="13309" width="11.85546875" style="65" customWidth="1"/>
    <col min="13310" max="13310" width="13.28515625" style="65" customWidth="1"/>
    <col min="13311" max="13311" width="15.28515625" style="65" customWidth="1"/>
    <col min="13312" max="13312" width="11.85546875" style="65" customWidth="1"/>
    <col min="13313" max="13313" width="6.140625" style="65" customWidth="1"/>
    <col min="13314" max="13314" width="11.85546875" style="65" customWidth="1"/>
    <col min="13315" max="13315" width="9.42578125" style="65" customWidth="1"/>
    <col min="13316" max="13316" width="14.7109375" style="65" customWidth="1"/>
    <col min="13317" max="13317" width="11.5703125" style="65" customWidth="1"/>
    <col min="13318" max="13318" width="0.42578125" style="65" customWidth="1"/>
    <col min="13319" max="13319" width="10.5703125" style="65" bestFit="1" customWidth="1"/>
    <col min="13320" max="13320" width="12.28515625" style="65" customWidth="1"/>
    <col min="13321" max="13321" width="12.5703125" style="65" customWidth="1"/>
    <col min="13322" max="13322" width="10.5703125" style="65" customWidth="1"/>
    <col min="13323" max="13323" width="10.140625" style="65" customWidth="1"/>
    <col min="13324" max="13324" width="8.42578125" style="65" customWidth="1"/>
    <col min="13325" max="13325" width="18.85546875" style="65" customWidth="1"/>
    <col min="13326" max="13326" width="10.28515625" style="65" customWidth="1"/>
    <col min="13327" max="13327" width="11.42578125" style="65"/>
    <col min="13328" max="13328" width="12.140625" style="65" customWidth="1"/>
    <col min="13329" max="13329" width="10.5703125" style="65" customWidth="1"/>
    <col min="13330" max="13330" width="12.42578125" style="65" customWidth="1"/>
    <col min="13331" max="13331" width="15.140625" style="65" customWidth="1"/>
    <col min="13332" max="13332" width="13.5703125" style="65" customWidth="1"/>
    <col min="13333" max="13333" width="13.140625" style="65" customWidth="1"/>
    <col min="13334" max="13334" width="15.7109375" style="65" customWidth="1"/>
    <col min="13335" max="13335" width="37.5703125" style="65" customWidth="1"/>
    <col min="13336" max="13557" width="11.42578125" style="65"/>
    <col min="13558" max="13558" width="10.5703125" style="65" customWidth="1"/>
    <col min="13559" max="13559" width="4.85546875" style="65" customWidth="1"/>
    <col min="13560" max="13560" width="32.42578125" style="65" customWidth="1"/>
    <col min="13561" max="13561" width="9.85546875" style="65" customWidth="1"/>
    <col min="13562" max="13562" width="10.140625" style="65" customWidth="1"/>
    <col min="13563" max="13563" width="12.28515625" style="65" customWidth="1"/>
    <col min="13564" max="13564" width="15.42578125" style="65" customWidth="1"/>
    <col min="13565" max="13565" width="11.85546875" style="65" customWidth="1"/>
    <col min="13566" max="13566" width="13.28515625" style="65" customWidth="1"/>
    <col min="13567" max="13567" width="15.28515625" style="65" customWidth="1"/>
    <col min="13568" max="13568" width="11.85546875" style="65" customWidth="1"/>
    <col min="13569" max="13569" width="6.140625" style="65" customWidth="1"/>
    <col min="13570" max="13570" width="11.85546875" style="65" customWidth="1"/>
    <col min="13571" max="13571" width="9.42578125" style="65" customWidth="1"/>
    <col min="13572" max="13572" width="14.7109375" style="65" customWidth="1"/>
    <col min="13573" max="13573" width="11.5703125" style="65" customWidth="1"/>
    <col min="13574" max="13574" width="0.42578125" style="65" customWidth="1"/>
    <col min="13575" max="13575" width="10.5703125" style="65" bestFit="1" customWidth="1"/>
    <col min="13576" max="13576" width="12.28515625" style="65" customWidth="1"/>
    <col min="13577" max="13577" width="12.5703125" style="65" customWidth="1"/>
    <col min="13578" max="13578" width="10.5703125" style="65" customWidth="1"/>
    <col min="13579" max="13579" width="10.140625" style="65" customWidth="1"/>
    <col min="13580" max="13580" width="8.42578125" style="65" customWidth="1"/>
    <col min="13581" max="13581" width="18.85546875" style="65" customWidth="1"/>
    <col min="13582" max="13582" width="10.28515625" style="65" customWidth="1"/>
    <col min="13583" max="13583" width="11.42578125" style="65"/>
    <col min="13584" max="13584" width="12.140625" style="65" customWidth="1"/>
    <col min="13585" max="13585" width="10.5703125" style="65" customWidth="1"/>
    <col min="13586" max="13586" width="12.42578125" style="65" customWidth="1"/>
    <col min="13587" max="13587" width="15.140625" style="65" customWidth="1"/>
    <col min="13588" max="13588" width="13.5703125" style="65" customWidth="1"/>
    <col min="13589" max="13589" width="13.140625" style="65" customWidth="1"/>
    <col min="13590" max="13590" width="15.7109375" style="65" customWidth="1"/>
    <col min="13591" max="13591" width="37.5703125" style="65" customWidth="1"/>
    <col min="13592" max="13813" width="11.42578125" style="65"/>
    <col min="13814" max="13814" width="10.5703125" style="65" customWidth="1"/>
    <col min="13815" max="13815" width="4.85546875" style="65" customWidth="1"/>
    <col min="13816" max="13816" width="32.42578125" style="65" customWidth="1"/>
    <col min="13817" max="13817" width="9.85546875" style="65" customWidth="1"/>
    <col min="13818" max="13818" width="10.140625" style="65" customWidth="1"/>
    <col min="13819" max="13819" width="12.28515625" style="65" customWidth="1"/>
    <col min="13820" max="13820" width="15.42578125" style="65" customWidth="1"/>
    <col min="13821" max="13821" width="11.85546875" style="65" customWidth="1"/>
    <col min="13822" max="13822" width="13.28515625" style="65" customWidth="1"/>
    <col min="13823" max="13823" width="15.28515625" style="65" customWidth="1"/>
    <col min="13824" max="13824" width="11.85546875" style="65" customWidth="1"/>
    <col min="13825" max="13825" width="6.140625" style="65" customWidth="1"/>
    <col min="13826" max="13826" width="11.85546875" style="65" customWidth="1"/>
    <col min="13827" max="13827" width="9.42578125" style="65" customWidth="1"/>
    <col min="13828" max="13828" width="14.7109375" style="65" customWidth="1"/>
    <col min="13829" max="13829" width="11.5703125" style="65" customWidth="1"/>
    <col min="13830" max="13830" width="0.42578125" style="65" customWidth="1"/>
    <col min="13831" max="13831" width="10.5703125" style="65" bestFit="1" customWidth="1"/>
    <col min="13832" max="13832" width="12.28515625" style="65" customWidth="1"/>
    <col min="13833" max="13833" width="12.5703125" style="65" customWidth="1"/>
    <col min="13834" max="13834" width="10.5703125" style="65" customWidth="1"/>
    <col min="13835" max="13835" width="10.140625" style="65" customWidth="1"/>
    <col min="13836" max="13836" width="8.42578125" style="65" customWidth="1"/>
    <col min="13837" max="13837" width="18.85546875" style="65" customWidth="1"/>
    <col min="13838" max="13838" width="10.28515625" style="65" customWidth="1"/>
    <col min="13839" max="13839" width="11.42578125" style="65"/>
    <col min="13840" max="13840" width="12.140625" style="65" customWidth="1"/>
    <col min="13841" max="13841" width="10.5703125" style="65" customWidth="1"/>
    <col min="13842" max="13842" width="12.42578125" style="65" customWidth="1"/>
    <col min="13843" max="13843" width="15.140625" style="65" customWidth="1"/>
    <col min="13844" max="13844" width="13.5703125" style="65" customWidth="1"/>
    <col min="13845" max="13845" width="13.140625" style="65" customWidth="1"/>
    <col min="13846" max="13846" width="15.7109375" style="65" customWidth="1"/>
    <col min="13847" max="13847" width="37.5703125" style="65" customWidth="1"/>
    <col min="13848" max="14069" width="11.42578125" style="65"/>
    <col min="14070" max="14070" width="10.5703125" style="65" customWidth="1"/>
    <col min="14071" max="14071" width="4.85546875" style="65" customWidth="1"/>
    <col min="14072" max="14072" width="32.42578125" style="65" customWidth="1"/>
    <col min="14073" max="14073" width="9.85546875" style="65" customWidth="1"/>
    <col min="14074" max="14074" width="10.140625" style="65" customWidth="1"/>
    <col min="14075" max="14075" width="12.28515625" style="65" customWidth="1"/>
    <col min="14076" max="14076" width="15.42578125" style="65" customWidth="1"/>
    <col min="14077" max="14077" width="11.85546875" style="65" customWidth="1"/>
    <col min="14078" max="14078" width="13.28515625" style="65" customWidth="1"/>
    <col min="14079" max="14079" width="15.28515625" style="65" customWidth="1"/>
    <col min="14080" max="14080" width="11.85546875" style="65" customWidth="1"/>
    <col min="14081" max="14081" width="6.140625" style="65" customWidth="1"/>
    <col min="14082" max="14082" width="11.85546875" style="65" customWidth="1"/>
    <col min="14083" max="14083" width="9.42578125" style="65" customWidth="1"/>
    <col min="14084" max="14084" width="14.7109375" style="65" customWidth="1"/>
    <col min="14085" max="14085" width="11.5703125" style="65" customWidth="1"/>
    <col min="14086" max="14086" width="0.42578125" style="65" customWidth="1"/>
    <col min="14087" max="14087" width="10.5703125" style="65" bestFit="1" customWidth="1"/>
    <col min="14088" max="14088" width="12.28515625" style="65" customWidth="1"/>
    <col min="14089" max="14089" width="12.5703125" style="65" customWidth="1"/>
    <col min="14090" max="14090" width="10.5703125" style="65" customWidth="1"/>
    <col min="14091" max="14091" width="10.140625" style="65" customWidth="1"/>
    <col min="14092" max="14092" width="8.42578125" style="65" customWidth="1"/>
    <col min="14093" max="14093" width="18.85546875" style="65" customWidth="1"/>
    <col min="14094" max="14094" width="10.28515625" style="65" customWidth="1"/>
    <col min="14095" max="14095" width="11.42578125" style="65"/>
    <col min="14096" max="14096" width="12.140625" style="65" customWidth="1"/>
    <col min="14097" max="14097" width="10.5703125" style="65" customWidth="1"/>
    <col min="14098" max="14098" width="12.42578125" style="65" customWidth="1"/>
    <col min="14099" max="14099" width="15.140625" style="65" customWidth="1"/>
    <col min="14100" max="14100" width="13.5703125" style="65" customWidth="1"/>
    <col min="14101" max="14101" width="13.140625" style="65" customWidth="1"/>
    <col min="14102" max="14102" width="15.7109375" style="65" customWidth="1"/>
    <col min="14103" max="14103" width="37.5703125" style="65" customWidth="1"/>
    <col min="14104" max="14325" width="11.42578125" style="65"/>
    <col min="14326" max="14326" width="10.5703125" style="65" customWidth="1"/>
    <col min="14327" max="14327" width="4.85546875" style="65" customWidth="1"/>
    <col min="14328" max="14328" width="32.42578125" style="65" customWidth="1"/>
    <col min="14329" max="14329" width="9.85546875" style="65" customWidth="1"/>
    <col min="14330" max="14330" width="10.140625" style="65" customWidth="1"/>
    <col min="14331" max="14331" width="12.28515625" style="65" customWidth="1"/>
    <col min="14332" max="14332" width="15.42578125" style="65" customWidth="1"/>
    <col min="14333" max="14333" width="11.85546875" style="65" customWidth="1"/>
    <col min="14334" max="14334" width="13.28515625" style="65" customWidth="1"/>
    <col min="14335" max="14335" width="15.28515625" style="65" customWidth="1"/>
    <col min="14336" max="14336" width="11.85546875" style="65" customWidth="1"/>
    <col min="14337" max="14337" width="6.140625" style="65" customWidth="1"/>
    <col min="14338" max="14338" width="11.85546875" style="65" customWidth="1"/>
    <col min="14339" max="14339" width="9.42578125" style="65" customWidth="1"/>
    <col min="14340" max="14340" width="14.7109375" style="65" customWidth="1"/>
    <col min="14341" max="14341" width="11.5703125" style="65" customWidth="1"/>
    <col min="14342" max="14342" width="0.42578125" style="65" customWidth="1"/>
    <col min="14343" max="14343" width="10.5703125" style="65" bestFit="1" customWidth="1"/>
    <col min="14344" max="14344" width="12.28515625" style="65" customWidth="1"/>
    <col min="14345" max="14345" width="12.5703125" style="65" customWidth="1"/>
    <col min="14346" max="14346" width="10.5703125" style="65" customWidth="1"/>
    <col min="14347" max="14347" width="10.140625" style="65" customWidth="1"/>
    <col min="14348" max="14348" width="8.42578125" style="65" customWidth="1"/>
    <col min="14349" max="14349" width="18.85546875" style="65" customWidth="1"/>
    <col min="14350" max="14350" width="10.28515625" style="65" customWidth="1"/>
    <col min="14351" max="14351" width="11.42578125" style="65"/>
    <col min="14352" max="14352" width="12.140625" style="65" customWidth="1"/>
    <col min="14353" max="14353" width="10.5703125" style="65" customWidth="1"/>
    <col min="14354" max="14354" width="12.42578125" style="65" customWidth="1"/>
    <col min="14355" max="14355" width="15.140625" style="65" customWidth="1"/>
    <col min="14356" max="14356" width="13.5703125" style="65" customWidth="1"/>
    <col min="14357" max="14357" width="13.140625" style="65" customWidth="1"/>
    <col min="14358" max="14358" width="15.7109375" style="65" customWidth="1"/>
    <col min="14359" max="14359" width="37.5703125" style="65" customWidth="1"/>
    <col min="14360" max="14581" width="11.42578125" style="65"/>
    <col min="14582" max="14582" width="10.5703125" style="65" customWidth="1"/>
    <col min="14583" max="14583" width="4.85546875" style="65" customWidth="1"/>
    <col min="14584" max="14584" width="32.42578125" style="65" customWidth="1"/>
    <col min="14585" max="14585" width="9.85546875" style="65" customWidth="1"/>
    <col min="14586" max="14586" width="10.140625" style="65" customWidth="1"/>
    <col min="14587" max="14587" width="12.28515625" style="65" customWidth="1"/>
    <col min="14588" max="14588" width="15.42578125" style="65" customWidth="1"/>
    <col min="14589" max="14589" width="11.85546875" style="65" customWidth="1"/>
    <col min="14590" max="14590" width="13.28515625" style="65" customWidth="1"/>
    <col min="14591" max="14591" width="15.28515625" style="65" customWidth="1"/>
    <col min="14592" max="14592" width="11.85546875" style="65" customWidth="1"/>
    <col min="14593" max="14593" width="6.140625" style="65" customWidth="1"/>
    <col min="14594" max="14594" width="11.85546875" style="65" customWidth="1"/>
    <col min="14595" max="14595" width="9.42578125" style="65" customWidth="1"/>
    <col min="14596" max="14596" width="14.7109375" style="65" customWidth="1"/>
    <col min="14597" max="14597" width="11.5703125" style="65" customWidth="1"/>
    <col min="14598" max="14598" width="0.42578125" style="65" customWidth="1"/>
    <col min="14599" max="14599" width="10.5703125" style="65" bestFit="1" customWidth="1"/>
    <col min="14600" max="14600" width="12.28515625" style="65" customWidth="1"/>
    <col min="14601" max="14601" width="12.5703125" style="65" customWidth="1"/>
    <col min="14602" max="14602" width="10.5703125" style="65" customWidth="1"/>
    <col min="14603" max="14603" width="10.140625" style="65" customWidth="1"/>
    <col min="14604" max="14604" width="8.42578125" style="65" customWidth="1"/>
    <col min="14605" max="14605" width="18.85546875" style="65" customWidth="1"/>
    <col min="14606" max="14606" width="10.28515625" style="65" customWidth="1"/>
    <col min="14607" max="14607" width="11.42578125" style="65"/>
    <col min="14608" max="14608" width="12.140625" style="65" customWidth="1"/>
    <col min="14609" max="14609" width="10.5703125" style="65" customWidth="1"/>
    <col min="14610" max="14610" width="12.42578125" style="65" customWidth="1"/>
    <col min="14611" max="14611" width="15.140625" style="65" customWidth="1"/>
    <col min="14612" max="14612" width="13.5703125" style="65" customWidth="1"/>
    <col min="14613" max="14613" width="13.140625" style="65" customWidth="1"/>
    <col min="14614" max="14614" width="15.7109375" style="65" customWidth="1"/>
    <col min="14615" max="14615" width="37.5703125" style="65" customWidth="1"/>
    <col min="14616" max="14837" width="11.42578125" style="65"/>
    <col min="14838" max="14838" width="10.5703125" style="65" customWidth="1"/>
    <col min="14839" max="14839" width="4.85546875" style="65" customWidth="1"/>
    <col min="14840" max="14840" width="32.42578125" style="65" customWidth="1"/>
    <col min="14841" max="14841" width="9.85546875" style="65" customWidth="1"/>
    <col min="14842" max="14842" width="10.140625" style="65" customWidth="1"/>
    <col min="14843" max="14843" width="12.28515625" style="65" customWidth="1"/>
    <col min="14844" max="14844" width="15.42578125" style="65" customWidth="1"/>
    <col min="14845" max="14845" width="11.85546875" style="65" customWidth="1"/>
    <col min="14846" max="14846" width="13.28515625" style="65" customWidth="1"/>
    <col min="14847" max="14847" width="15.28515625" style="65" customWidth="1"/>
    <col min="14848" max="14848" width="11.85546875" style="65" customWidth="1"/>
    <col min="14849" max="14849" width="6.140625" style="65" customWidth="1"/>
    <col min="14850" max="14850" width="11.85546875" style="65" customWidth="1"/>
    <col min="14851" max="14851" width="9.42578125" style="65" customWidth="1"/>
    <col min="14852" max="14852" width="14.7109375" style="65" customWidth="1"/>
    <col min="14853" max="14853" width="11.5703125" style="65" customWidth="1"/>
    <col min="14854" max="14854" width="0.42578125" style="65" customWidth="1"/>
    <col min="14855" max="14855" width="10.5703125" style="65" bestFit="1" customWidth="1"/>
    <col min="14856" max="14856" width="12.28515625" style="65" customWidth="1"/>
    <col min="14857" max="14857" width="12.5703125" style="65" customWidth="1"/>
    <col min="14858" max="14858" width="10.5703125" style="65" customWidth="1"/>
    <col min="14859" max="14859" width="10.140625" style="65" customWidth="1"/>
    <col min="14860" max="14860" width="8.42578125" style="65" customWidth="1"/>
    <col min="14861" max="14861" width="18.85546875" style="65" customWidth="1"/>
    <col min="14862" max="14862" width="10.28515625" style="65" customWidth="1"/>
    <col min="14863" max="14863" width="11.42578125" style="65"/>
    <col min="14864" max="14864" width="12.140625" style="65" customWidth="1"/>
    <col min="14865" max="14865" width="10.5703125" style="65" customWidth="1"/>
    <col min="14866" max="14866" width="12.42578125" style="65" customWidth="1"/>
    <col min="14867" max="14867" width="15.140625" style="65" customWidth="1"/>
    <col min="14868" max="14868" width="13.5703125" style="65" customWidth="1"/>
    <col min="14869" max="14869" width="13.140625" style="65" customWidth="1"/>
    <col min="14870" max="14870" width="15.7109375" style="65" customWidth="1"/>
    <col min="14871" max="14871" width="37.5703125" style="65" customWidth="1"/>
    <col min="14872" max="15093" width="11.42578125" style="65"/>
    <col min="15094" max="15094" width="10.5703125" style="65" customWidth="1"/>
    <col min="15095" max="15095" width="4.85546875" style="65" customWidth="1"/>
    <col min="15096" max="15096" width="32.42578125" style="65" customWidth="1"/>
    <col min="15097" max="15097" width="9.85546875" style="65" customWidth="1"/>
    <col min="15098" max="15098" width="10.140625" style="65" customWidth="1"/>
    <col min="15099" max="15099" width="12.28515625" style="65" customWidth="1"/>
    <col min="15100" max="15100" width="15.42578125" style="65" customWidth="1"/>
    <col min="15101" max="15101" width="11.85546875" style="65" customWidth="1"/>
    <col min="15102" max="15102" width="13.28515625" style="65" customWidth="1"/>
    <col min="15103" max="15103" width="15.28515625" style="65" customWidth="1"/>
    <col min="15104" max="15104" width="11.85546875" style="65" customWidth="1"/>
    <col min="15105" max="15105" width="6.140625" style="65" customWidth="1"/>
    <col min="15106" max="15106" width="11.85546875" style="65" customWidth="1"/>
    <col min="15107" max="15107" width="9.42578125" style="65" customWidth="1"/>
    <col min="15108" max="15108" width="14.7109375" style="65" customWidth="1"/>
    <col min="15109" max="15109" width="11.5703125" style="65" customWidth="1"/>
    <col min="15110" max="15110" width="0.42578125" style="65" customWidth="1"/>
    <col min="15111" max="15111" width="10.5703125" style="65" bestFit="1" customWidth="1"/>
    <col min="15112" max="15112" width="12.28515625" style="65" customWidth="1"/>
    <col min="15113" max="15113" width="12.5703125" style="65" customWidth="1"/>
    <col min="15114" max="15114" width="10.5703125" style="65" customWidth="1"/>
    <col min="15115" max="15115" width="10.140625" style="65" customWidth="1"/>
    <col min="15116" max="15116" width="8.42578125" style="65" customWidth="1"/>
    <col min="15117" max="15117" width="18.85546875" style="65" customWidth="1"/>
    <col min="15118" max="15118" width="10.28515625" style="65" customWidth="1"/>
    <col min="15119" max="15119" width="11.42578125" style="65"/>
    <col min="15120" max="15120" width="12.140625" style="65" customWidth="1"/>
    <col min="15121" max="15121" width="10.5703125" style="65" customWidth="1"/>
    <col min="15122" max="15122" width="12.42578125" style="65" customWidth="1"/>
    <col min="15123" max="15123" width="15.140625" style="65" customWidth="1"/>
    <col min="15124" max="15124" width="13.5703125" style="65" customWidth="1"/>
    <col min="15125" max="15125" width="13.140625" style="65" customWidth="1"/>
    <col min="15126" max="15126" width="15.7109375" style="65" customWidth="1"/>
    <col min="15127" max="15127" width="37.5703125" style="65" customWidth="1"/>
    <col min="15128" max="15349" width="11.42578125" style="65"/>
    <col min="15350" max="15350" width="10.5703125" style="65" customWidth="1"/>
    <col min="15351" max="15351" width="4.85546875" style="65" customWidth="1"/>
    <col min="15352" max="15352" width="32.42578125" style="65" customWidth="1"/>
    <col min="15353" max="15353" width="9.85546875" style="65" customWidth="1"/>
    <col min="15354" max="15354" width="10.140625" style="65" customWidth="1"/>
    <col min="15355" max="15355" width="12.28515625" style="65" customWidth="1"/>
    <col min="15356" max="15356" width="15.42578125" style="65" customWidth="1"/>
    <col min="15357" max="15357" width="11.85546875" style="65" customWidth="1"/>
    <col min="15358" max="15358" width="13.28515625" style="65" customWidth="1"/>
    <col min="15359" max="15359" width="15.28515625" style="65" customWidth="1"/>
    <col min="15360" max="15360" width="11.85546875" style="65" customWidth="1"/>
    <col min="15361" max="15361" width="6.140625" style="65" customWidth="1"/>
    <col min="15362" max="15362" width="11.85546875" style="65" customWidth="1"/>
    <col min="15363" max="15363" width="9.42578125" style="65" customWidth="1"/>
    <col min="15364" max="15364" width="14.7109375" style="65" customWidth="1"/>
    <col min="15365" max="15365" width="11.5703125" style="65" customWidth="1"/>
    <col min="15366" max="15366" width="0.42578125" style="65" customWidth="1"/>
    <col min="15367" max="15367" width="10.5703125" style="65" bestFit="1" customWidth="1"/>
    <col min="15368" max="15368" width="12.28515625" style="65" customWidth="1"/>
    <col min="15369" max="15369" width="12.5703125" style="65" customWidth="1"/>
    <col min="15370" max="15370" width="10.5703125" style="65" customWidth="1"/>
    <col min="15371" max="15371" width="10.140625" style="65" customWidth="1"/>
    <col min="15372" max="15372" width="8.42578125" style="65" customWidth="1"/>
    <col min="15373" max="15373" width="18.85546875" style="65" customWidth="1"/>
    <col min="15374" max="15374" width="10.28515625" style="65" customWidth="1"/>
    <col min="15375" max="15375" width="11.42578125" style="65"/>
    <col min="15376" max="15376" width="12.140625" style="65" customWidth="1"/>
    <col min="15377" max="15377" width="10.5703125" style="65" customWidth="1"/>
    <col min="15378" max="15378" width="12.42578125" style="65" customWidth="1"/>
    <col min="15379" max="15379" width="15.140625" style="65" customWidth="1"/>
    <col min="15380" max="15380" width="13.5703125" style="65" customWidth="1"/>
    <col min="15381" max="15381" width="13.140625" style="65" customWidth="1"/>
    <col min="15382" max="15382" width="15.7109375" style="65" customWidth="1"/>
    <col min="15383" max="15383" width="37.5703125" style="65" customWidth="1"/>
    <col min="15384" max="15605" width="11.42578125" style="65"/>
    <col min="15606" max="15606" width="10.5703125" style="65" customWidth="1"/>
    <col min="15607" max="15607" width="4.85546875" style="65" customWidth="1"/>
    <col min="15608" max="15608" width="32.42578125" style="65" customWidth="1"/>
    <col min="15609" max="15609" width="9.85546875" style="65" customWidth="1"/>
    <col min="15610" max="15610" width="10.140625" style="65" customWidth="1"/>
    <col min="15611" max="15611" width="12.28515625" style="65" customWidth="1"/>
    <col min="15612" max="15612" width="15.42578125" style="65" customWidth="1"/>
    <col min="15613" max="15613" width="11.85546875" style="65" customWidth="1"/>
    <col min="15614" max="15614" width="13.28515625" style="65" customWidth="1"/>
    <col min="15615" max="15615" width="15.28515625" style="65" customWidth="1"/>
    <col min="15616" max="15616" width="11.85546875" style="65" customWidth="1"/>
    <col min="15617" max="15617" width="6.140625" style="65" customWidth="1"/>
    <col min="15618" max="15618" width="11.85546875" style="65" customWidth="1"/>
    <col min="15619" max="15619" width="9.42578125" style="65" customWidth="1"/>
    <col min="15620" max="15620" width="14.7109375" style="65" customWidth="1"/>
    <col min="15621" max="15621" width="11.5703125" style="65" customWidth="1"/>
    <col min="15622" max="15622" width="0.42578125" style="65" customWidth="1"/>
    <col min="15623" max="15623" width="10.5703125" style="65" bestFit="1" customWidth="1"/>
    <col min="15624" max="15624" width="12.28515625" style="65" customWidth="1"/>
    <col min="15625" max="15625" width="12.5703125" style="65" customWidth="1"/>
    <col min="15626" max="15626" width="10.5703125" style="65" customWidth="1"/>
    <col min="15627" max="15627" width="10.140625" style="65" customWidth="1"/>
    <col min="15628" max="15628" width="8.42578125" style="65" customWidth="1"/>
    <col min="15629" max="15629" width="18.85546875" style="65" customWidth="1"/>
    <col min="15630" max="15630" width="10.28515625" style="65" customWidth="1"/>
    <col min="15631" max="15631" width="11.42578125" style="65"/>
    <col min="15632" max="15632" width="12.140625" style="65" customWidth="1"/>
    <col min="15633" max="15633" width="10.5703125" style="65" customWidth="1"/>
    <col min="15634" max="15634" width="12.42578125" style="65" customWidth="1"/>
    <col min="15635" max="15635" width="15.140625" style="65" customWidth="1"/>
    <col min="15636" max="15636" width="13.5703125" style="65" customWidth="1"/>
    <col min="15637" max="15637" width="13.140625" style="65" customWidth="1"/>
    <col min="15638" max="15638" width="15.7109375" style="65" customWidth="1"/>
    <col min="15639" max="15639" width="37.5703125" style="65" customWidth="1"/>
    <col min="15640" max="15861" width="11.42578125" style="65"/>
    <col min="15862" max="15862" width="10.5703125" style="65" customWidth="1"/>
    <col min="15863" max="15863" width="4.85546875" style="65" customWidth="1"/>
    <col min="15864" max="15864" width="32.42578125" style="65" customWidth="1"/>
    <col min="15865" max="15865" width="9.85546875" style="65" customWidth="1"/>
    <col min="15866" max="15866" width="10.140625" style="65" customWidth="1"/>
    <col min="15867" max="15867" width="12.28515625" style="65" customWidth="1"/>
    <col min="15868" max="15868" width="15.42578125" style="65" customWidth="1"/>
    <col min="15869" max="15869" width="11.85546875" style="65" customWidth="1"/>
    <col min="15870" max="15870" width="13.28515625" style="65" customWidth="1"/>
    <col min="15871" max="15871" width="15.28515625" style="65" customWidth="1"/>
    <col min="15872" max="15872" width="11.85546875" style="65" customWidth="1"/>
    <col min="15873" max="15873" width="6.140625" style="65" customWidth="1"/>
    <col min="15874" max="15874" width="11.85546875" style="65" customWidth="1"/>
    <col min="15875" max="15875" width="9.42578125" style="65" customWidth="1"/>
    <col min="15876" max="15876" width="14.7109375" style="65" customWidth="1"/>
    <col min="15877" max="15877" width="11.5703125" style="65" customWidth="1"/>
    <col min="15878" max="15878" width="0.42578125" style="65" customWidth="1"/>
    <col min="15879" max="15879" width="10.5703125" style="65" bestFit="1" customWidth="1"/>
    <col min="15880" max="15880" width="12.28515625" style="65" customWidth="1"/>
    <col min="15881" max="15881" width="12.5703125" style="65" customWidth="1"/>
    <col min="15882" max="15882" width="10.5703125" style="65" customWidth="1"/>
    <col min="15883" max="15883" width="10.140625" style="65" customWidth="1"/>
    <col min="15884" max="15884" width="8.42578125" style="65" customWidth="1"/>
    <col min="15885" max="15885" width="18.85546875" style="65" customWidth="1"/>
    <col min="15886" max="15886" width="10.28515625" style="65" customWidth="1"/>
    <col min="15887" max="15887" width="11.42578125" style="65"/>
    <col min="15888" max="15888" width="12.140625" style="65" customWidth="1"/>
    <col min="15889" max="15889" width="10.5703125" style="65" customWidth="1"/>
    <col min="15890" max="15890" width="12.42578125" style="65" customWidth="1"/>
    <col min="15891" max="15891" width="15.140625" style="65" customWidth="1"/>
    <col min="15892" max="15892" width="13.5703125" style="65" customWidth="1"/>
    <col min="15893" max="15893" width="13.140625" style="65" customWidth="1"/>
    <col min="15894" max="15894" width="15.7109375" style="65" customWidth="1"/>
    <col min="15895" max="15895" width="37.5703125" style="65" customWidth="1"/>
    <col min="15896" max="16117" width="11.42578125" style="65"/>
    <col min="16118" max="16118" width="10.5703125" style="65" customWidth="1"/>
    <col min="16119" max="16119" width="4.85546875" style="65" customWidth="1"/>
    <col min="16120" max="16120" width="32.42578125" style="65" customWidth="1"/>
    <col min="16121" max="16121" width="9.85546875" style="65" customWidth="1"/>
    <col min="16122" max="16122" width="10.140625" style="65" customWidth="1"/>
    <col min="16123" max="16123" width="12.28515625" style="65" customWidth="1"/>
    <col min="16124" max="16124" width="15.42578125" style="65" customWidth="1"/>
    <col min="16125" max="16125" width="11.85546875" style="65" customWidth="1"/>
    <col min="16126" max="16126" width="13.28515625" style="65" customWidth="1"/>
    <col min="16127" max="16127" width="15.28515625" style="65" customWidth="1"/>
    <col min="16128" max="16128" width="11.85546875" style="65" customWidth="1"/>
    <col min="16129" max="16129" width="6.140625" style="65" customWidth="1"/>
    <col min="16130" max="16130" width="11.85546875" style="65" customWidth="1"/>
    <col min="16131" max="16131" width="9.42578125" style="65" customWidth="1"/>
    <col min="16132" max="16132" width="14.7109375" style="65" customWidth="1"/>
    <col min="16133" max="16133" width="11.5703125" style="65" customWidth="1"/>
    <col min="16134" max="16134" width="0.42578125" style="65" customWidth="1"/>
    <col min="16135" max="16135" width="10.5703125" style="65" bestFit="1" customWidth="1"/>
    <col min="16136" max="16136" width="12.28515625" style="65" customWidth="1"/>
    <col min="16137" max="16137" width="12.5703125" style="65" customWidth="1"/>
    <col min="16138" max="16138" width="10.5703125" style="65" customWidth="1"/>
    <col min="16139" max="16139" width="10.140625" style="65" customWidth="1"/>
    <col min="16140" max="16140" width="8.42578125" style="65" customWidth="1"/>
    <col min="16141" max="16141" width="18.85546875" style="65" customWidth="1"/>
    <col min="16142" max="16142" width="10.28515625" style="65" customWidth="1"/>
    <col min="16143" max="16143" width="11.42578125" style="65"/>
    <col min="16144" max="16144" width="12.140625" style="65" customWidth="1"/>
    <col min="16145" max="16145" width="10.5703125" style="65" customWidth="1"/>
    <col min="16146" max="16146" width="12.42578125" style="65" customWidth="1"/>
    <col min="16147" max="16147" width="15.140625" style="65" customWidth="1"/>
    <col min="16148" max="16148" width="13.5703125" style="65" customWidth="1"/>
    <col min="16149" max="16149" width="13.140625" style="65" customWidth="1"/>
    <col min="16150" max="16150" width="15.7109375" style="65" customWidth="1"/>
    <col min="16151" max="16151" width="37.5703125" style="65" customWidth="1"/>
    <col min="16152" max="16384" width="11.42578125" style="65"/>
  </cols>
  <sheetData>
    <row r="1" spans="1:23" x14ac:dyDescent="0.25">
      <c r="A1" s="228" t="s">
        <v>177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6"/>
      <c r="U1" s="64"/>
      <c r="V1" s="26"/>
      <c r="W1" s="30"/>
    </row>
    <row r="2" spans="1:23" x14ac:dyDescent="0.25">
      <c r="A2" s="30" t="s">
        <v>1</v>
      </c>
      <c r="B2" s="26"/>
      <c r="C2" s="229" t="s">
        <v>2</v>
      </c>
      <c r="D2" s="229"/>
      <c r="E2" s="229"/>
      <c r="F2" s="229"/>
      <c r="G2" s="229"/>
      <c r="H2" s="229"/>
      <c r="I2" s="229"/>
      <c r="J2" s="229" t="s">
        <v>3</v>
      </c>
      <c r="K2" s="229"/>
      <c r="L2" s="229"/>
      <c r="M2" s="229"/>
      <c r="N2" s="229"/>
      <c r="O2" s="229"/>
      <c r="P2" s="229"/>
      <c r="Q2" s="229"/>
      <c r="R2" s="229"/>
      <c r="S2" s="26"/>
      <c r="T2" s="26"/>
      <c r="U2" s="64"/>
      <c r="V2" s="26"/>
      <c r="W2" s="30"/>
    </row>
    <row r="3" spans="1:23" ht="48" x14ac:dyDescent="0.25">
      <c r="A3" s="20" t="s">
        <v>6</v>
      </c>
      <c r="B3" s="20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15</v>
      </c>
      <c r="H3" s="21" t="s">
        <v>178</v>
      </c>
      <c r="I3" s="21" t="s">
        <v>17</v>
      </c>
      <c r="J3" s="21" t="s">
        <v>18</v>
      </c>
      <c r="K3" s="21" t="s">
        <v>171</v>
      </c>
      <c r="L3" s="21" t="s">
        <v>20</v>
      </c>
      <c r="M3" s="21" t="s">
        <v>21</v>
      </c>
      <c r="N3" s="21" t="s">
        <v>23</v>
      </c>
      <c r="O3" s="21" t="s">
        <v>24</v>
      </c>
      <c r="P3" s="21" t="s">
        <v>25</v>
      </c>
      <c r="Q3" s="21" t="s">
        <v>26</v>
      </c>
      <c r="R3" s="21" t="s">
        <v>27</v>
      </c>
      <c r="S3" s="20" t="s">
        <v>28</v>
      </c>
      <c r="T3" s="20"/>
      <c r="U3" s="66"/>
      <c r="V3" s="20" t="s">
        <v>29</v>
      </c>
      <c r="W3" s="20" t="s">
        <v>30</v>
      </c>
    </row>
    <row r="4" spans="1:23" ht="24" x14ac:dyDescent="0.2">
      <c r="A4" s="19" t="s">
        <v>179</v>
      </c>
      <c r="B4" s="20" t="s">
        <v>32</v>
      </c>
      <c r="C4" s="22">
        <v>4500000</v>
      </c>
      <c r="D4" s="22">
        <v>30</v>
      </c>
      <c r="E4" s="22">
        <f t="shared" ref="E4:E8" si="0">+C4/30*D4</f>
        <v>4500000</v>
      </c>
      <c r="F4" s="22"/>
      <c r="G4" s="22"/>
      <c r="H4" s="22"/>
      <c r="I4" s="22">
        <f t="shared" ref="I4:I34" si="1">SUM(E4:G4)+H4</f>
        <v>4500000</v>
      </c>
      <c r="J4" s="22">
        <f t="shared" ref="J4:J45" si="2">+E4*4%</f>
        <v>180000</v>
      </c>
      <c r="K4" s="22">
        <f>+E4*5%</f>
        <v>225000</v>
      </c>
      <c r="L4" s="22"/>
      <c r="M4" s="22"/>
      <c r="N4" s="22">
        <v>98752</v>
      </c>
      <c r="O4" s="22"/>
      <c r="P4" s="22"/>
      <c r="Q4" s="22"/>
      <c r="R4" s="22">
        <f t="shared" ref="R4:R47" si="3">SUM(J4:Q4)</f>
        <v>503752</v>
      </c>
      <c r="S4" s="23">
        <f>+I4-R4</f>
        <v>3996248</v>
      </c>
      <c r="T4" s="23"/>
      <c r="U4" s="64"/>
      <c r="V4" s="23">
        <f t="shared" ref="V4:V67" si="4">S4+T4-U4</f>
        <v>3996248</v>
      </c>
      <c r="W4" s="63" t="s">
        <v>33</v>
      </c>
    </row>
    <row r="5" spans="1:23" ht="24" x14ac:dyDescent="0.2">
      <c r="A5" s="19" t="s">
        <v>34</v>
      </c>
      <c r="B5" s="20" t="s">
        <v>32</v>
      </c>
      <c r="C5" s="22">
        <v>4000000</v>
      </c>
      <c r="D5" s="22">
        <v>30</v>
      </c>
      <c r="E5" s="22">
        <f t="shared" si="0"/>
        <v>4000000.0000000005</v>
      </c>
      <c r="F5" s="22"/>
      <c r="G5" s="22"/>
      <c r="H5" s="22"/>
      <c r="I5" s="22">
        <f t="shared" si="1"/>
        <v>4000000.0000000005</v>
      </c>
      <c r="J5" s="22">
        <f t="shared" si="2"/>
        <v>160000.00000000003</v>
      </c>
      <c r="K5" s="22">
        <f t="shared" ref="K5:K44" si="5">+E5*5%</f>
        <v>200000.00000000003</v>
      </c>
      <c r="L5" s="22"/>
      <c r="M5" s="22"/>
      <c r="N5" s="22">
        <v>31064</v>
      </c>
      <c r="O5" s="22"/>
      <c r="P5" s="22"/>
      <c r="Q5" s="22"/>
      <c r="R5" s="22">
        <f t="shared" si="3"/>
        <v>391064.00000000006</v>
      </c>
      <c r="S5" s="23">
        <f>+I5-R5</f>
        <v>3608936.0000000005</v>
      </c>
      <c r="T5" s="23"/>
      <c r="U5" s="64"/>
      <c r="V5" s="23">
        <f t="shared" si="4"/>
        <v>3608936.0000000005</v>
      </c>
      <c r="W5" s="63" t="s">
        <v>33</v>
      </c>
    </row>
    <row r="6" spans="1:23" x14ac:dyDescent="0.2">
      <c r="A6" s="19" t="s">
        <v>35</v>
      </c>
      <c r="B6" s="20" t="s">
        <v>32</v>
      </c>
      <c r="C6" s="22">
        <v>3500000</v>
      </c>
      <c r="D6" s="22">
        <v>30</v>
      </c>
      <c r="E6" s="22">
        <f t="shared" si="0"/>
        <v>3500000</v>
      </c>
      <c r="F6" s="22"/>
      <c r="G6" s="22">
        <f>(500000/30)*30</f>
        <v>500000.00000000006</v>
      </c>
      <c r="H6" s="22"/>
      <c r="I6" s="22">
        <f t="shared" si="1"/>
        <v>4000000</v>
      </c>
      <c r="J6" s="22">
        <f t="shared" si="2"/>
        <v>140000</v>
      </c>
      <c r="K6" s="22">
        <f t="shared" si="5"/>
        <v>175000</v>
      </c>
      <c r="L6" s="22"/>
      <c r="M6" s="22"/>
      <c r="N6" s="22">
        <v>0</v>
      </c>
      <c r="O6" s="22"/>
      <c r="P6" s="22"/>
      <c r="Q6" s="22"/>
      <c r="R6" s="22">
        <f t="shared" si="3"/>
        <v>315000</v>
      </c>
      <c r="S6" s="23">
        <f>+I6-R6</f>
        <v>3685000</v>
      </c>
      <c r="T6" s="23"/>
      <c r="U6" s="64"/>
      <c r="V6" s="23">
        <f t="shared" si="4"/>
        <v>3685000</v>
      </c>
      <c r="W6" s="63"/>
    </row>
    <row r="7" spans="1:23" x14ac:dyDescent="0.2">
      <c r="A7" s="19" t="s">
        <v>36</v>
      </c>
      <c r="B7" s="20" t="s">
        <v>32</v>
      </c>
      <c r="C7" s="22">
        <v>5133000</v>
      </c>
      <c r="D7" s="22">
        <v>30</v>
      </c>
      <c r="E7" s="22">
        <f t="shared" si="0"/>
        <v>5133000</v>
      </c>
      <c r="F7" s="22"/>
      <c r="G7" s="22"/>
      <c r="H7" s="22"/>
      <c r="I7" s="22">
        <f t="shared" si="1"/>
        <v>5133000</v>
      </c>
      <c r="J7" s="22">
        <f t="shared" si="2"/>
        <v>205320</v>
      </c>
      <c r="K7" s="22">
        <f t="shared" si="5"/>
        <v>256650</v>
      </c>
      <c r="L7" s="22"/>
      <c r="M7" s="22"/>
      <c r="N7" s="25">
        <v>111299</v>
      </c>
      <c r="O7" s="22"/>
      <c r="P7" s="22"/>
      <c r="Q7" s="22"/>
      <c r="R7" s="22">
        <f t="shared" si="3"/>
        <v>573269</v>
      </c>
      <c r="S7" s="23">
        <f>+I7-R7</f>
        <v>4559731</v>
      </c>
      <c r="T7" s="23"/>
      <c r="U7" s="64"/>
      <c r="V7" s="23">
        <f t="shared" si="4"/>
        <v>4559731</v>
      </c>
      <c r="W7" s="63" t="s">
        <v>37</v>
      </c>
    </row>
    <row r="8" spans="1:23" x14ac:dyDescent="0.2">
      <c r="A8" s="19" t="s">
        <v>38</v>
      </c>
      <c r="B8" s="20" t="s">
        <v>32</v>
      </c>
      <c r="C8" s="22">
        <v>4472600</v>
      </c>
      <c r="D8" s="22">
        <v>30</v>
      </c>
      <c r="E8" s="22">
        <f t="shared" si="0"/>
        <v>4472600</v>
      </c>
      <c r="F8" s="22"/>
      <c r="G8" s="22">
        <v>2012670</v>
      </c>
      <c r="H8" s="22"/>
      <c r="I8" s="22">
        <f t="shared" si="1"/>
        <v>6485270</v>
      </c>
      <c r="J8" s="22">
        <f t="shared" si="2"/>
        <v>178904</v>
      </c>
      <c r="K8" s="22">
        <f t="shared" si="5"/>
        <v>223630</v>
      </c>
      <c r="L8" s="22"/>
      <c r="M8" s="22"/>
      <c r="N8" s="25">
        <v>68437</v>
      </c>
      <c r="O8" s="22"/>
      <c r="P8" s="22"/>
      <c r="Q8" s="22"/>
      <c r="R8" s="22">
        <f t="shared" si="3"/>
        <v>470971</v>
      </c>
      <c r="S8" s="23">
        <f>+I8-R8</f>
        <v>6014299</v>
      </c>
      <c r="T8" s="23"/>
      <c r="U8" s="64"/>
      <c r="V8" s="23">
        <f t="shared" si="4"/>
        <v>6014299</v>
      </c>
      <c r="W8" s="63" t="s">
        <v>39</v>
      </c>
    </row>
    <row r="9" spans="1:23" ht="24" x14ac:dyDescent="0.2">
      <c r="A9" s="19" t="s">
        <v>40</v>
      </c>
      <c r="B9" s="20" t="s">
        <v>32</v>
      </c>
      <c r="C9" s="22">
        <v>4200000</v>
      </c>
      <c r="D9" s="22">
        <v>30</v>
      </c>
      <c r="E9" s="22">
        <f>C9/30*D9</f>
        <v>4200000</v>
      </c>
      <c r="F9" s="22"/>
      <c r="G9" s="22"/>
      <c r="H9" s="22"/>
      <c r="I9" s="22">
        <f t="shared" si="1"/>
        <v>4200000</v>
      </c>
      <c r="J9" s="22">
        <f t="shared" si="2"/>
        <v>168000</v>
      </c>
      <c r="K9" s="22">
        <f t="shared" si="5"/>
        <v>210000</v>
      </c>
      <c r="L9" s="22"/>
      <c r="M9" s="22"/>
      <c r="N9" s="25">
        <v>2545</v>
      </c>
      <c r="O9" s="22"/>
      <c r="P9" s="22"/>
      <c r="Q9" s="22"/>
      <c r="R9" s="22">
        <f t="shared" si="3"/>
        <v>380545</v>
      </c>
      <c r="S9" s="23">
        <f>I9-R9</f>
        <v>3819455</v>
      </c>
      <c r="T9" s="23"/>
      <c r="U9" s="64"/>
      <c r="V9" s="23">
        <f t="shared" si="4"/>
        <v>3819455</v>
      </c>
      <c r="W9" s="63"/>
    </row>
    <row r="10" spans="1:23" x14ac:dyDescent="0.2">
      <c r="A10" s="19" t="s">
        <v>41</v>
      </c>
      <c r="B10" s="20" t="s">
        <v>32</v>
      </c>
      <c r="C10" s="22">
        <v>5500000</v>
      </c>
      <c r="D10" s="22">
        <v>30</v>
      </c>
      <c r="E10" s="22">
        <f>C10/30*D10</f>
        <v>5500000</v>
      </c>
      <c r="F10" s="22"/>
      <c r="G10" s="22"/>
      <c r="H10" s="22"/>
      <c r="I10" s="22">
        <f t="shared" si="1"/>
        <v>5500000</v>
      </c>
      <c r="J10" s="22">
        <f t="shared" si="2"/>
        <v>220000</v>
      </c>
      <c r="K10" s="22">
        <f t="shared" si="5"/>
        <v>275000</v>
      </c>
      <c r="L10" s="22"/>
      <c r="M10" s="22"/>
      <c r="N10" s="25">
        <v>234000</v>
      </c>
      <c r="O10" s="22"/>
      <c r="P10" s="22"/>
      <c r="Q10" s="22"/>
      <c r="R10" s="22">
        <f t="shared" si="3"/>
        <v>729000</v>
      </c>
      <c r="S10" s="23">
        <f>I10-R10</f>
        <v>4771000</v>
      </c>
      <c r="T10" s="23"/>
      <c r="U10" s="64"/>
      <c r="V10" s="23">
        <f t="shared" si="4"/>
        <v>4771000</v>
      </c>
      <c r="W10" s="63"/>
    </row>
    <row r="11" spans="1:23" ht="24" x14ac:dyDescent="0.2">
      <c r="A11" s="19" t="s">
        <v>46</v>
      </c>
      <c r="B11" s="20" t="s">
        <v>32</v>
      </c>
      <c r="C11" s="22">
        <v>4000000</v>
      </c>
      <c r="D11" s="22">
        <v>30</v>
      </c>
      <c r="E11" s="22">
        <f>+C11/30*D11</f>
        <v>4000000.0000000005</v>
      </c>
      <c r="F11" s="22"/>
      <c r="G11" s="22"/>
      <c r="H11" s="22"/>
      <c r="I11" s="22">
        <f t="shared" si="1"/>
        <v>4000000.0000000005</v>
      </c>
      <c r="J11" s="22">
        <f t="shared" si="2"/>
        <v>160000.00000000003</v>
      </c>
      <c r="K11" s="22">
        <f t="shared" si="5"/>
        <v>200000.00000000003</v>
      </c>
      <c r="L11" s="22"/>
      <c r="M11" s="22"/>
      <c r="N11" s="22">
        <v>31064</v>
      </c>
      <c r="O11" s="22"/>
      <c r="P11" s="22"/>
      <c r="Q11" s="22"/>
      <c r="R11" s="22">
        <f t="shared" si="3"/>
        <v>391064.00000000006</v>
      </c>
      <c r="S11" s="23">
        <f t="shared" ref="S11:S16" si="6">+I11-R11</f>
        <v>3608936.0000000005</v>
      </c>
      <c r="T11" s="23"/>
      <c r="U11" s="64"/>
      <c r="V11" s="23">
        <f t="shared" si="4"/>
        <v>3608936.0000000005</v>
      </c>
      <c r="W11" s="63"/>
    </row>
    <row r="12" spans="1:23" x14ac:dyDescent="0.2">
      <c r="A12" s="19" t="s">
        <v>44</v>
      </c>
      <c r="B12" s="20" t="s">
        <v>32</v>
      </c>
      <c r="C12" s="22">
        <v>5000000</v>
      </c>
      <c r="D12" s="22">
        <v>28</v>
      </c>
      <c r="E12" s="22">
        <f>+C12/30*D12</f>
        <v>4666666.666666666</v>
      </c>
      <c r="F12" s="22"/>
      <c r="G12" s="22">
        <v>136000</v>
      </c>
      <c r="H12" s="22">
        <v>333333</v>
      </c>
      <c r="I12" s="22">
        <f t="shared" si="1"/>
        <v>5135999.666666666</v>
      </c>
      <c r="J12" s="22">
        <v>200000</v>
      </c>
      <c r="K12" s="22">
        <v>250000</v>
      </c>
      <c r="L12" s="22"/>
      <c r="M12" s="22"/>
      <c r="N12" s="22">
        <v>6248</v>
      </c>
      <c r="O12" s="22"/>
      <c r="P12" s="22"/>
      <c r="Q12" s="22"/>
      <c r="R12" s="22">
        <f t="shared" si="3"/>
        <v>456248</v>
      </c>
      <c r="S12" s="23">
        <f t="shared" si="6"/>
        <v>4679751.666666666</v>
      </c>
      <c r="T12" s="23"/>
      <c r="U12" s="64"/>
      <c r="V12" s="23">
        <f t="shared" si="4"/>
        <v>4679751.666666666</v>
      </c>
      <c r="W12" s="63" t="s">
        <v>45</v>
      </c>
    </row>
    <row r="13" spans="1:23" x14ac:dyDescent="0.2">
      <c r="A13" s="30" t="s">
        <v>47</v>
      </c>
      <c r="B13" s="26" t="s">
        <v>32</v>
      </c>
      <c r="C13" s="22">
        <v>3745000</v>
      </c>
      <c r="D13" s="22">
        <v>28</v>
      </c>
      <c r="E13" s="22">
        <f t="shared" ref="E13:E18" si="7">+C13/30*D13</f>
        <v>3495333.333333333</v>
      </c>
      <c r="F13" s="22"/>
      <c r="G13" s="22">
        <v>535000</v>
      </c>
      <c r="H13" s="22">
        <v>249667</v>
      </c>
      <c r="I13" s="22">
        <f t="shared" si="1"/>
        <v>4280000.333333333</v>
      </c>
      <c r="J13" s="22">
        <v>149800</v>
      </c>
      <c r="K13" s="22">
        <v>187250</v>
      </c>
      <c r="L13" s="22"/>
      <c r="M13" s="22"/>
      <c r="N13" s="22">
        <v>0</v>
      </c>
      <c r="O13" s="22"/>
      <c r="P13" s="22"/>
      <c r="Q13" s="22"/>
      <c r="R13" s="22">
        <f t="shared" si="3"/>
        <v>337050</v>
      </c>
      <c r="S13" s="23">
        <f t="shared" si="6"/>
        <v>3942950.333333333</v>
      </c>
      <c r="T13" s="23"/>
      <c r="U13" s="64"/>
      <c r="V13" s="23">
        <f t="shared" si="4"/>
        <v>3942950.333333333</v>
      </c>
      <c r="W13" s="63" t="s">
        <v>48</v>
      </c>
    </row>
    <row r="14" spans="1:23" x14ac:dyDescent="0.2">
      <c r="A14" s="30" t="s">
        <v>172</v>
      </c>
      <c r="B14" s="26" t="s">
        <v>32</v>
      </c>
      <c r="C14" s="22">
        <v>4500000</v>
      </c>
      <c r="D14" s="22">
        <v>30</v>
      </c>
      <c r="E14" s="22">
        <f t="shared" si="7"/>
        <v>4500000</v>
      </c>
      <c r="F14" s="22"/>
      <c r="G14" s="22"/>
      <c r="H14" s="22"/>
      <c r="I14" s="22">
        <f t="shared" si="1"/>
        <v>4500000</v>
      </c>
      <c r="J14" s="22">
        <f t="shared" si="2"/>
        <v>180000</v>
      </c>
      <c r="K14" s="22">
        <f t="shared" si="5"/>
        <v>225000</v>
      </c>
      <c r="L14" s="22"/>
      <c r="M14" s="22"/>
      <c r="N14" s="22">
        <v>98752</v>
      </c>
      <c r="O14" s="22"/>
      <c r="P14" s="22"/>
      <c r="Q14" s="22"/>
      <c r="R14" s="22">
        <f t="shared" si="3"/>
        <v>503752</v>
      </c>
      <c r="S14" s="23">
        <f t="shared" si="6"/>
        <v>3996248</v>
      </c>
      <c r="T14" s="23"/>
      <c r="U14" s="64"/>
      <c r="V14" s="23">
        <f t="shared" si="4"/>
        <v>3996248</v>
      </c>
      <c r="W14" s="63"/>
    </row>
    <row r="15" spans="1:23" x14ac:dyDescent="0.2">
      <c r="A15" s="19" t="s">
        <v>49</v>
      </c>
      <c r="B15" s="20" t="s">
        <v>32</v>
      </c>
      <c r="C15" s="22">
        <v>5500000</v>
      </c>
      <c r="D15" s="22">
        <v>28</v>
      </c>
      <c r="E15" s="22">
        <f t="shared" si="7"/>
        <v>5133333.333333334</v>
      </c>
      <c r="F15" s="22"/>
      <c r="G15" s="22"/>
      <c r="H15" s="22">
        <v>366667</v>
      </c>
      <c r="I15" s="22">
        <f t="shared" si="1"/>
        <v>5500000.333333334</v>
      </c>
      <c r="J15" s="22">
        <f t="shared" si="2"/>
        <v>205333.33333333337</v>
      </c>
      <c r="K15" s="22">
        <f t="shared" si="5"/>
        <v>256666.66666666672</v>
      </c>
      <c r="L15" s="22"/>
      <c r="M15" s="22"/>
      <c r="N15" s="25">
        <v>150521</v>
      </c>
      <c r="O15" s="22">
        <v>400000</v>
      </c>
      <c r="P15" s="22"/>
      <c r="Q15" s="22"/>
      <c r="R15" s="22">
        <f t="shared" si="3"/>
        <v>1012521.0000000001</v>
      </c>
      <c r="S15" s="23">
        <f t="shared" si="6"/>
        <v>4487479.333333334</v>
      </c>
      <c r="T15" s="23"/>
      <c r="U15" s="64"/>
      <c r="V15" s="23">
        <f t="shared" si="4"/>
        <v>4487479.333333334</v>
      </c>
      <c r="W15" s="63" t="s">
        <v>50</v>
      </c>
    </row>
    <row r="16" spans="1:23" x14ac:dyDescent="0.2">
      <c r="A16" s="19" t="s">
        <v>51</v>
      </c>
      <c r="B16" s="20" t="s">
        <v>32</v>
      </c>
      <c r="C16" s="22">
        <v>3500000</v>
      </c>
      <c r="D16" s="22">
        <v>30</v>
      </c>
      <c r="E16" s="22">
        <f t="shared" si="7"/>
        <v>3500000</v>
      </c>
      <c r="F16" s="22"/>
      <c r="G16" s="22"/>
      <c r="H16" s="22"/>
      <c r="I16" s="22">
        <f t="shared" si="1"/>
        <v>3500000</v>
      </c>
      <c r="J16" s="22">
        <f t="shared" si="2"/>
        <v>140000</v>
      </c>
      <c r="K16" s="22">
        <f t="shared" si="5"/>
        <v>175000</v>
      </c>
      <c r="L16" s="22"/>
      <c r="M16" s="22"/>
      <c r="N16" s="25"/>
      <c r="O16" s="22"/>
      <c r="P16" s="22"/>
      <c r="Q16" s="22"/>
      <c r="R16" s="22">
        <f t="shared" si="3"/>
        <v>315000</v>
      </c>
      <c r="S16" s="23">
        <f t="shared" si="6"/>
        <v>3185000</v>
      </c>
      <c r="T16" s="23"/>
      <c r="U16" s="64"/>
      <c r="V16" s="23">
        <f t="shared" si="4"/>
        <v>3185000</v>
      </c>
      <c r="W16" s="63"/>
    </row>
    <row r="17" spans="1:23" ht="24" x14ac:dyDescent="0.2">
      <c r="A17" s="19" t="s">
        <v>54</v>
      </c>
      <c r="B17" s="20" t="s">
        <v>32</v>
      </c>
      <c r="C17" s="22">
        <v>5000000</v>
      </c>
      <c r="D17" s="22">
        <v>28</v>
      </c>
      <c r="E17" s="22">
        <f t="shared" ref="E17" si="8">C17/30*D17</f>
        <v>4666666.666666666</v>
      </c>
      <c r="F17" s="22">
        <v>90000</v>
      </c>
      <c r="G17" s="22">
        <v>900000</v>
      </c>
      <c r="H17" s="22">
        <v>333333</v>
      </c>
      <c r="I17" s="22">
        <f t="shared" si="1"/>
        <v>5989999.666666666</v>
      </c>
      <c r="J17" s="22">
        <v>200000</v>
      </c>
      <c r="K17" s="22">
        <v>250000</v>
      </c>
      <c r="L17" s="22"/>
      <c r="M17" s="22"/>
      <c r="N17" s="25">
        <v>98752</v>
      </c>
      <c r="O17" s="22"/>
      <c r="P17" s="22"/>
      <c r="Q17" s="22"/>
      <c r="R17" s="22">
        <f t="shared" si="3"/>
        <v>548752</v>
      </c>
      <c r="S17" s="23">
        <f>I17-R17</f>
        <v>5441247.666666666</v>
      </c>
      <c r="T17" s="23"/>
      <c r="U17" s="64"/>
      <c r="V17" s="23">
        <f t="shared" si="4"/>
        <v>5441247.666666666</v>
      </c>
      <c r="W17" s="63" t="s">
        <v>55</v>
      </c>
    </row>
    <row r="18" spans="1:23" x14ac:dyDescent="0.2">
      <c r="A18" s="19" t="s">
        <v>52</v>
      </c>
      <c r="B18" s="20" t="s">
        <v>32</v>
      </c>
      <c r="C18" s="22">
        <v>4500000</v>
      </c>
      <c r="D18" s="22">
        <v>30</v>
      </c>
      <c r="E18" s="22">
        <f t="shared" si="7"/>
        <v>4500000</v>
      </c>
      <c r="F18" s="22"/>
      <c r="G18" s="22">
        <v>300000</v>
      </c>
      <c r="H18" s="22"/>
      <c r="I18" s="22">
        <f t="shared" si="1"/>
        <v>4800000</v>
      </c>
      <c r="J18" s="22">
        <f t="shared" si="2"/>
        <v>180000</v>
      </c>
      <c r="K18" s="22">
        <f t="shared" si="5"/>
        <v>225000</v>
      </c>
      <c r="L18" s="22"/>
      <c r="M18" s="22"/>
      <c r="N18" s="25">
        <v>98752</v>
      </c>
      <c r="O18" s="22"/>
      <c r="P18" s="22">
        <v>180180</v>
      </c>
      <c r="Q18" s="22"/>
      <c r="R18" s="22">
        <f t="shared" si="3"/>
        <v>683932</v>
      </c>
      <c r="S18" s="23">
        <f>+I18-R18</f>
        <v>4116068</v>
      </c>
      <c r="T18" s="23"/>
      <c r="U18" s="64"/>
      <c r="V18" s="23">
        <f t="shared" si="4"/>
        <v>4116068</v>
      </c>
      <c r="W18" s="63" t="s">
        <v>53</v>
      </c>
    </row>
    <row r="19" spans="1:23" x14ac:dyDescent="0.2">
      <c r="A19" s="19" t="s">
        <v>56</v>
      </c>
      <c r="B19" s="20" t="s">
        <v>32</v>
      </c>
      <c r="C19" s="22">
        <v>5000000</v>
      </c>
      <c r="D19" s="22">
        <v>30</v>
      </c>
      <c r="E19" s="22">
        <f t="shared" ref="E19:E24" si="9">C19/30*D19</f>
        <v>5000000</v>
      </c>
      <c r="F19" s="22"/>
      <c r="G19" s="22"/>
      <c r="H19" s="22"/>
      <c r="I19" s="22">
        <f t="shared" si="1"/>
        <v>5000000</v>
      </c>
      <c r="J19" s="22">
        <f t="shared" si="2"/>
        <v>200000</v>
      </c>
      <c r="K19" s="22">
        <f t="shared" si="5"/>
        <v>250000</v>
      </c>
      <c r="L19" s="22"/>
      <c r="M19" s="22"/>
      <c r="N19" s="25">
        <v>139833</v>
      </c>
      <c r="O19" s="22"/>
      <c r="P19" s="22"/>
      <c r="Q19" s="22"/>
      <c r="R19" s="22">
        <f t="shared" si="3"/>
        <v>589833</v>
      </c>
      <c r="S19" s="23">
        <f>I19-R19</f>
        <v>4410167</v>
      </c>
      <c r="T19" s="23"/>
      <c r="U19" s="64"/>
      <c r="V19" s="23">
        <f t="shared" si="4"/>
        <v>4410167</v>
      </c>
      <c r="W19" s="63" t="s">
        <v>57</v>
      </c>
    </row>
    <row r="20" spans="1:23" x14ac:dyDescent="0.2">
      <c r="A20" s="19" t="s">
        <v>58</v>
      </c>
      <c r="B20" s="20" t="s">
        <v>32</v>
      </c>
      <c r="C20" s="22">
        <v>4000000</v>
      </c>
      <c r="D20" s="22">
        <v>30</v>
      </c>
      <c r="E20" s="22">
        <f t="shared" si="9"/>
        <v>4000000.0000000005</v>
      </c>
      <c r="F20" s="22"/>
      <c r="G20" s="22"/>
      <c r="H20" s="22"/>
      <c r="I20" s="22">
        <f t="shared" si="1"/>
        <v>4000000.0000000005</v>
      </c>
      <c r="J20" s="22">
        <f t="shared" si="2"/>
        <v>160000.00000000003</v>
      </c>
      <c r="K20" s="22">
        <f t="shared" si="5"/>
        <v>200000.00000000003</v>
      </c>
      <c r="L20" s="22"/>
      <c r="M20" s="22"/>
      <c r="N20" s="25">
        <v>31064</v>
      </c>
      <c r="O20" s="22"/>
      <c r="P20" s="22"/>
      <c r="Q20" s="22"/>
      <c r="R20" s="22">
        <f t="shared" si="3"/>
        <v>391064.00000000006</v>
      </c>
      <c r="S20" s="23">
        <f>I20-R20</f>
        <v>3608936.0000000005</v>
      </c>
      <c r="T20" s="23"/>
      <c r="U20" s="64"/>
      <c r="V20" s="23">
        <f t="shared" si="4"/>
        <v>3608936.0000000005</v>
      </c>
      <c r="W20" s="63"/>
    </row>
    <row r="21" spans="1:23" x14ac:dyDescent="0.2">
      <c r="A21" s="19" t="s">
        <v>59</v>
      </c>
      <c r="B21" s="20" t="s">
        <v>32</v>
      </c>
      <c r="C21" s="22">
        <v>4472600</v>
      </c>
      <c r="D21" s="22">
        <v>30</v>
      </c>
      <c r="E21" s="22">
        <f t="shared" si="9"/>
        <v>4472600</v>
      </c>
      <c r="F21" s="22"/>
      <c r="G21" s="22">
        <v>1621317</v>
      </c>
      <c r="H21" s="22"/>
      <c r="I21" s="22">
        <f t="shared" si="1"/>
        <v>6093917</v>
      </c>
      <c r="J21" s="22">
        <f t="shared" si="2"/>
        <v>178904</v>
      </c>
      <c r="K21" s="22">
        <f t="shared" si="5"/>
        <v>223630</v>
      </c>
      <c r="L21" s="22"/>
      <c r="M21" s="22"/>
      <c r="N21" s="25">
        <v>11437</v>
      </c>
      <c r="O21" s="22">
        <v>800000</v>
      </c>
      <c r="P21" s="22"/>
      <c r="Q21" s="22">
        <f>884747</f>
        <v>884747</v>
      </c>
      <c r="R21" s="22">
        <f t="shared" si="3"/>
        <v>2098718</v>
      </c>
      <c r="S21" s="23">
        <f>+I21-R21</f>
        <v>3995199</v>
      </c>
      <c r="T21" s="23"/>
      <c r="U21" s="64"/>
      <c r="V21" s="23">
        <f t="shared" si="4"/>
        <v>3995199</v>
      </c>
      <c r="W21" s="63" t="s">
        <v>60</v>
      </c>
    </row>
    <row r="22" spans="1:23" x14ac:dyDescent="0.2">
      <c r="A22" s="19" t="s">
        <v>61</v>
      </c>
      <c r="B22" s="20" t="s">
        <v>32</v>
      </c>
      <c r="C22" s="22">
        <v>4000000</v>
      </c>
      <c r="D22" s="22">
        <v>30</v>
      </c>
      <c r="E22" s="22">
        <f t="shared" si="9"/>
        <v>4000000.0000000005</v>
      </c>
      <c r="F22" s="22"/>
      <c r="G22" s="22"/>
      <c r="H22" s="22"/>
      <c r="I22" s="22">
        <f t="shared" si="1"/>
        <v>4000000.0000000005</v>
      </c>
      <c r="J22" s="22">
        <f t="shared" si="2"/>
        <v>160000.00000000003</v>
      </c>
      <c r="K22" s="22">
        <f t="shared" si="5"/>
        <v>200000.00000000003</v>
      </c>
      <c r="L22" s="22"/>
      <c r="M22" s="22"/>
      <c r="N22" s="25">
        <v>31000</v>
      </c>
      <c r="O22" s="22"/>
      <c r="P22" s="22"/>
      <c r="Q22" s="22"/>
      <c r="R22" s="22">
        <f t="shared" si="3"/>
        <v>391000.00000000006</v>
      </c>
      <c r="S22" s="23">
        <f>+I22-R22</f>
        <v>3609000.0000000005</v>
      </c>
      <c r="T22" s="23"/>
      <c r="U22" s="64"/>
      <c r="V22" s="23">
        <f t="shared" si="4"/>
        <v>3609000.0000000005</v>
      </c>
      <c r="W22" s="63"/>
    </row>
    <row r="23" spans="1:23" x14ac:dyDescent="0.2">
      <c r="A23" s="19" t="s">
        <v>62</v>
      </c>
      <c r="B23" s="20" t="s">
        <v>32</v>
      </c>
      <c r="C23" s="22">
        <v>5031675</v>
      </c>
      <c r="D23" s="22">
        <v>30</v>
      </c>
      <c r="E23" s="22">
        <f t="shared" si="9"/>
        <v>5031675</v>
      </c>
      <c r="F23" s="22"/>
      <c r="G23" s="22"/>
      <c r="H23" s="22"/>
      <c r="I23" s="22">
        <f t="shared" si="1"/>
        <v>5031675</v>
      </c>
      <c r="J23" s="22">
        <f t="shared" si="2"/>
        <v>201267</v>
      </c>
      <c r="K23" s="22">
        <f t="shared" si="5"/>
        <v>251583.75</v>
      </c>
      <c r="L23" s="22"/>
      <c r="M23" s="22"/>
      <c r="N23" s="25">
        <v>144121</v>
      </c>
      <c r="O23" s="22"/>
      <c r="P23" s="22"/>
      <c r="Q23" s="22"/>
      <c r="R23" s="22">
        <f t="shared" si="3"/>
        <v>596971.75</v>
      </c>
      <c r="S23" s="23">
        <f>I23-R23</f>
        <v>4434703.25</v>
      </c>
      <c r="T23" s="23"/>
      <c r="U23" s="64"/>
      <c r="V23" s="23">
        <f t="shared" si="4"/>
        <v>4434703.25</v>
      </c>
      <c r="W23" s="63" t="s">
        <v>63</v>
      </c>
    </row>
    <row r="24" spans="1:23" x14ac:dyDescent="0.2">
      <c r="A24" s="19" t="s">
        <v>64</v>
      </c>
      <c r="B24" s="20" t="s">
        <v>32</v>
      </c>
      <c r="C24" s="22">
        <v>4500000</v>
      </c>
      <c r="D24" s="22">
        <v>28</v>
      </c>
      <c r="E24" s="22">
        <f t="shared" si="9"/>
        <v>4200000</v>
      </c>
      <c r="F24" s="22"/>
      <c r="G24" s="22">
        <v>300000</v>
      </c>
      <c r="H24" s="22">
        <v>300000</v>
      </c>
      <c r="I24" s="22">
        <f t="shared" si="1"/>
        <v>4800000</v>
      </c>
      <c r="J24" s="22">
        <v>180000</v>
      </c>
      <c r="K24" s="22">
        <v>225000</v>
      </c>
      <c r="L24" s="22"/>
      <c r="M24" s="22"/>
      <c r="N24" s="25">
        <v>99000</v>
      </c>
      <c r="O24" s="22"/>
      <c r="P24" s="22"/>
      <c r="Q24" s="22"/>
      <c r="R24" s="22">
        <f t="shared" si="3"/>
        <v>504000</v>
      </c>
      <c r="S24" s="23">
        <f>I24-R24</f>
        <v>4296000</v>
      </c>
      <c r="T24" s="23"/>
      <c r="U24" s="64"/>
      <c r="V24" s="23">
        <f t="shared" si="4"/>
        <v>4296000</v>
      </c>
      <c r="W24" s="63"/>
    </row>
    <row r="25" spans="1:23" x14ac:dyDescent="0.25">
      <c r="A25" s="19" t="s">
        <v>65</v>
      </c>
      <c r="B25" s="20" t="s">
        <v>32</v>
      </c>
      <c r="C25" s="22">
        <v>4500000</v>
      </c>
      <c r="D25" s="22">
        <v>30</v>
      </c>
      <c r="E25" s="22">
        <f t="shared" ref="E25:E50" si="10">+C25/30*D25</f>
        <v>4500000</v>
      </c>
      <c r="F25" s="22"/>
      <c r="G25" s="22"/>
      <c r="H25" s="22"/>
      <c r="I25" s="22">
        <f t="shared" si="1"/>
        <v>4500000</v>
      </c>
      <c r="J25" s="22">
        <f t="shared" si="2"/>
        <v>180000</v>
      </c>
      <c r="K25" s="22">
        <f t="shared" si="5"/>
        <v>225000</v>
      </c>
      <c r="L25" s="22"/>
      <c r="M25" s="22"/>
      <c r="N25" s="25">
        <v>72146</v>
      </c>
      <c r="O25" s="22"/>
      <c r="P25" s="22"/>
      <c r="Q25" s="22"/>
      <c r="R25" s="22">
        <f t="shared" si="3"/>
        <v>477146</v>
      </c>
      <c r="S25" s="23">
        <f>I25-R25</f>
        <v>4022854</v>
      </c>
      <c r="T25" s="23"/>
      <c r="U25" s="64"/>
      <c r="V25" s="23">
        <f t="shared" si="4"/>
        <v>4022854</v>
      </c>
      <c r="W25" s="62" t="s">
        <v>66</v>
      </c>
    </row>
    <row r="26" spans="1:23" x14ac:dyDescent="0.2">
      <c r="A26" s="19" t="s">
        <v>67</v>
      </c>
      <c r="B26" s="20" t="s">
        <v>32</v>
      </c>
      <c r="C26" s="22">
        <v>4000000</v>
      </c>
      <c r="D26" s="22">
        <v>30</v>
      </c>
      <c r="E26" s="22">
        <f>C26/30*D26</f>
        <v>4000000.0000000005</v>
      </c>
      <c r="F26" s="22"/>
      <c r="G26" s="22"/>
      <c r="H26" s="22"/>
      <c r="I26" s="22">
        <f t="shared" si="1"/>
        <v>4000000.0000000005</v>
      </c>
      <c r="J26" s="22">
        <f t="shared" si="2"/>
        <v>160000.00000000003</v>
      </c>
      <c r="K26" s="22">
        <f t="shared" si="5"/>
        <v>200000.00000000003</v>
      </c>
      <c r="L26" s="22"/>
      <c r="M26" s="22"/>
      <c r="N26" s="25">
        <v>31064</v>
      </c>
      <c r="O26" s="22"/>
      <c r="P26" s="22"/>
      <c r="Q26" s="22"/>
      <c r="R26" s="22">
        <f t="shared" si="3"/>
        <v>391064.00000000006</v>
      </c>
      <c r="S26" s="23">
        <f>I26-R26</f>
        <v>3608936.0000000005</v>
      </c>
      <c r="T26" s="23"/>
      <c r="U26" s="64"/>
      <c r="V26" s="23">
        <f t="shared" si="4"/>
        <v>3608936.0000000005</v>
      </c>
      <c r="W26" s="63"/>
    </row>
    <row r="27" spans="1:23" x14ac:dyDescent="0.2">
      <c r="A27" s="19" t="s">
        <v>69</v>
      </c>
      <c r="B27" s="20" t="s">
        <v>32</v>
      </c>
      <c r="C27" s="22">
        <v>5136000</v>
      </c>
      <c r="D27" s="22">
        <v>30</v>
      </c>
      <c r="E27" s="22">
        <f t="shared" si="10"/>
        <v>5136000</v>
      </c>
      <c r="F27" s="22"/>
      <c r="G27" s="22"/>
      <c r="H27" s="22"/>
      <c r="I27" s="22">
        <f t="shared" si="1"/>
        <v>5136000</v>
      </c>
      <c r="J27" s="22">
        <f t="shared" si="2"/>
        <v>205440</v>
      </c>
      <c r="K27" s="22">
        <f t="shared" si="5"/>
        <v>256800</v>
      </c>
      <c r="L27" s="22"/>
      <c r="M27" s="22"/>
      <c r="N27" s="22">
        <v>131000</v>
      </c>
      <c r="O27" s="22"/>
      <c r="P27" s="22">
        <v>122614</v>
      </c>
      <c r="Q27" s="22"/>
      <c r="R27" s="22">
        <f t="shared" si="3"/>
        <v>715854</v>
      </c>
      <c r="S27" s="23">
        <f t="shared" ref="S27:S32" si="11">+I27-R27</f>
        <v>4420146</v>
      </c>
      <c r="T27" s="23"/>
      <c r="U27" s="64"/>
      <c r="V27" s="23">
        <f t="shared" si="4"/>
        <v>4420146</v>
      </c>
      <c r="W27" s="63" t="s">
        <v>70</v>
      </c>
    </row>
    <row r="28" spans="1:23" ht="24" x14ac:dyDescent="0.2">
      <c r="A28" s="19" t="s">
        <v>71</v>
      </c>
      <c r="B28" s="20" t="s">
        <v>32</v>
      </c>
      <c r="C28" s="22">
        <v>4500000</v>
      </c>
      <c r="D28" s="22">
        <v>30</v>
      </c>
      <c r="E28" s="22">
        <f t="shared" si="10"/>
        <v>4500000</v>
      </c>
      <c r="F28" s="22"/>
      <c r="G28" s="22"/>
      <c r="H28" s="22"/>
      <c r="I28" s="22">
        <f t="shared" si="1"/>
        <v>4500000</v>
      </c>
      <c r="J28" s="22">
        <f t="shared" si="2"/>
        <v>180000</v>
      </c>
      <c r="K28" s="22">
        <f t="shared" si="5"/>
        <v>225000</v>
      </c>
      <c r="L28" s="22"/>
      <c r="M28" s="22"/>
      <c r="N28" s="22">
        <v>99000</v>
      </c>
      <c r="O28" s="22"/>
      <c r="P28" s="22"/>
      <c r="Q28" s="22"/>
      <c r="R28" s="22">
        <f t="shared" si="3"/>
        <v>504000</v>
      </c>
      <c r="S28" s="23">
        <f t="shared" si="11"/>
        <v>3996000</v>
      </c>
      <c r="T28" s="23"/>
      <c r="U28" s="64"/>
      <c r="V28" s="23">
        <f t="shared" si="4"/>
        <v>3996000</v>
      </c>
      <c r="W28" s="63"/>
    </row>
    <row r="29" spans="1:23" x14ac:dyDescent="0.2">
      <c r="A29" s="19" t="s">
        <v>72</v>
      </c>
      <c r="B29" s="20" t="s">
        <v>32</v>
      </c>
      <c r="C29" s="22">
        <v>4023250</v>
      </c>
      <c r="D29" s="22">
        <v>30</v>
      </c>
      <c r="E29" s="22">
        <f t="shared" si="10"/>
        <v>4023250.0000000005</v>
      </c>
      <c r="F29" s="22"/>
      <c r="G29" s="22"/>
      <c r="H29" s="22"/>
      <c r="I29" s="22">
        <f t="shared" si="1"/>
        <v>4023250.0000000005</v>
      </c>
      <c r="J29" s="22">
        <f t="shared" si="2"/>
        <v>160930.00000000003</v>
      </c>
      <c r="K29" s="22">
        <f t="shared" si="5"/>
        <v>201162.50000000003</v>
      </c>
      <c r="L29" s="22"/>
      <c r="M29" s="22"/>
      <c r="N29" s="22">
        <v>2545</v>
      </c>
      <c r="O29" s="22"/>
      <c r="P29" s="22"/>
      <c r="Q29" s="22"/>
      <c r="R29" s="22">
        <f t="shared" si="3"/>
        <v>364637.50000000006</v>
      </c>
      <c r="S29" s="23">
        <f t="shared" si="11"/>
        <v>3658612.5000000005</v>
      </c>
      <c r="T29" s="23"/>
      <c r="U29" s="64"/>
      <c r="V29" s="23">
        <f t="shared" si="4"/>
        <v>3658612.5000000005</v>
      </c>
      <c r="W29" s="63" t="s">
        <v>73</v>
      </c>
    </row>
    <row r="30" spans="1:23" x14ac:dyDescent="0.2">
      <c r="A30" s="19" t="s">
        <v>74</v>
      </c>
      <c r="B30" s="20" t="s">
        <v>32</v>
      </c>
      <c r="C30" s="22">
        <v>6912675</v>
      </c>
      <c r="D30" s="22">
        <v>30</v>
      </c>
      <c r="E30" s="22">
        <f t="shared" si="10"/>
        <v>6912675</v>
      </c>
      <c r="F30" s="22"/>
      <c r="G30" s="22"/>
      <c r="H30" s="22"/>
      <c r="I30" s="22">
        <f t="shared" si="1"/>
        <v>6912675</v>
      </c>
      <c r="J30" s="22">
        <f t="shared" si="2"/>
        <v>276507</v>
      </c>
      <c r="K30" s="22">
        <f t="shared" si="5"/>
        <v>345633.75</v>
      </c>
      <c r="L30" s="22"/>
      <c r="M30" s="22"/>
      <c r="N30" s="25">
        <v>143706</v>
      </c>
      <c r="O30" s="22">
        <v>400000</v>
      </c>
      <c r="P30" s="22"/>
      <c r="Q30" s="22"/>
      <c r="R30" s="22">
        <f t="shared" si="3"/>
        <v>1165846.75</v>
      </c>
      <c r="S30" s="23">
        <f t="shared" si="11"/>
        <v>5746828.25</v>
      </c>
      <c r="T30" s="23"/>
      <c r="U30" s="64"/>
      <c r="V30" s="23">
        <f t="shared" si="4"/>
        <v>5746828.25</v>
      </c>
      <c r="W30" s="63" t="s">
        <v>75</v>
      </c>
    </row>
    <row r="31" spans="1:23" ht="24" x14ac:dyDescent="0.2">
      <c r="A31" s="19" t="s">
        <v>76</v>
      </c>
      <c r="B31" s="20" t="s">
        <v>32</v>
      </c>
      <c r="C31" s="22">
        <v>4000000</v>
      </c>
      <c r="D31" s="22">
        <v>30</v>
      </c>
      <c r="E31" s="22">
        <f t="shared" si="10"/>
        <v>4000000.0000000005</v>
      </c>
      <c r="F31" s="22"/>
      <c r="G31" s="22">
        <v>500000</v>
      </c>
      <c r="H31" s="22"/>
      <c r="I31" s="22">
        <f t="shared" si="1"/>
        <v>4500000</v>
      </c>
      <c r="J31" s="22">
        <f t="shared" si="2"/>
        <v>160000.00000000003</v>
      </c>
      <c r="K31" s="22">
        <f t="shared" si="5"/>
        <v>200000.00000000003</v>
      </c>
      <c r="L31" s="22"/>
      <c r="M31" s="22"/>
      <c r="N31" s="22">
        <v>4458</v>
      </c>
      <c r="O31" s="22"/>
      <c r="P31" s="22">
        <v>1010000</v>
      </c>
      <c r="Q31" s="22">
        <v>551399</v>
      </c>
      <c r="R31" s="22">
        <f t="shared" si="3"/>
        <v>1925857</v>
      </c>
      <c r="S31" s="23">
        <f t="shared" si="11"/>
        <v>2574143</v>
      </c>
      <c r="T31" s="23"/>
      <c r="U31" s="64"/>
      <c r="V31" s="23">
        <f t="shared" si="4"/>
        <v>2574143</v>
      </c>
      <c r="W31" s="63" t="s">
        <v>77</v>
      </c>
    </row>
    <row r="32" spans="1:23" ht="24" x14ac:dyDescent="0.25">
      <c r="A32" s="19" t="s">
        <v>91</v>
      </c>
      <c r="B32" s="20" t="s">
        <v>32</v>
      </c>
      <c r="C32" s="22">
        <v>4500000</v>
      </c>
      <c r="D32" s="22">
        <v>30</v>
      </c>
      <c r="E32" s="22">
        <f t="shared" si="10"/>
        <v>4500000</v>
      </c>
      <c r="F32" s="22"/>
      <c r="G32" s="22"/>
      <c r="H32" s="22"/>
      <c r="I32" s="22">
        <f t="shared" si="1"/>
        <v>4500000</v>
      </c>
      <c r="J32" s="22">
        <f t="shared" si="2"/>
        <v>180000</v>
      </c>
      <c r="K32" s="22">
        <f t="shared" si="5"/>
        <v>225000</v>
      </c>
      <c r="L32" s="22"/>
      <c r="M32" s="22"/>
      <c r="N32" s="22">
        <v>34627</v>
      </c>
      <c r="O32" s="22"/>
      <c r="P32" s="22"/>
      <c r="Q32" s="22"/>
      <c r="R32" s="22">
        <f t="shared" si="3"/>
        <v>439627</v>
      </c>
      <c r="S32" s="23">
        <f t="shared" si="11"/>
        <v>4060373</v>
      </c>
      <c r="T32" s="23"/>
      <c r="U32" s="64"/>
      <c r="V32" s="23">
        <f t="shared" si="4"/>
        <v>4060373</v>
      </c>
      <c r="W32" s="61" t="s">
        <v>79</v>
      </c>
    </row>
    <row r="33" spans="1:23" x14ac:dyDescent="0.2">
      <c r="A33" s="30" t="s">
        <v>80</v>
      </c>
      <c r="B33" s="26" t="s">
        <v>32</v>
      </c>
      <c r="C33" s="22">
        <v>4500000</v>
      </c>
      <c r="D33" s="22">
        <v>30</v>
      </c>
      <c r="E33" s="22">
        <f t="shared" si="10"/>
        <v>4500000</v>
      </c>
      <c r="F33" s="22"/>
      <c r="G33" s="22"/>
      <c r="H33" s="22"/>
      <c r="I33" s="22">
        <f t="shared" si="1"/>
        <v>4500000</v>
      </c>
      <c r="J33" s="22">
        <f t="shared" si="2"/>
        <v>180000</v>
      </c>
      <c r="K33" s="22">
        <f t="shared" si="5"/>
        <v>225000</v>
      </c>
      <c r="L33" s="22"/>
      <c r="M33" s="22"/>
      <c r="N33" s="22">
        <v>34627</v>
      </c>
      <c r="O33" s="22"/>
      <c r="P33" s="22"/>
      <c r="Q33" s="22"/>
      <c r="R33" s="22">
        <f t="shared" si="3"/>
        <v>439627</v>
      </c>
      <c r="S33" s="23">
        <f>I33-R33</f>
        <v>4060373</v>
      </c>
      <c r="T33" s="23"/>
      <c r="U33" s="64"/>
      <c r="V33" s="23">
        <f t="shared" si="4"/>
        <v>4060373</v>
      </c>
      <c r="W33" s="63" t="s">
        <v>81</v>
      </c>
    </row>
    <row r="34" spans="1:23" x14ac:dyDescent="0.2">
      <c r="A34" s="30" t="s">
        <v>84</v>
      </c>
      <c r="B34" s="26" t="s">
        <v>32</v>
      </c>
      <c r="C34" s="22">
        <v>4500000</v>
      </c>
      <c r="D34" s="22">
        <v>30</v>
      </c>
      <c r="E34" s="22">
        <f t="shared" si="10"/>
        <v>4500000</v>
      </c>
      <c r="F34" s="22"/>
      <c r="G34" s="22"/>
      <c r="H34" s="22"/>
      <c r="I34" s="22">
        <f t="shared" si="1"/>
        <v>4500000</v>
      </c>
      <c r="J34" s="22">
        <f t="shared" si="2"/>
        <v>180000</v>
      </c>
      <c r="K34" s="22">
        <f t="shared" si="5"/>
        <v>225000</v>
      </c>
      <c r="L34" s="22"/>
      <c r="M34" s="22"/>
      <c r="N34" s="22">
        <v>99000</v>
      </c>
      <c r="O34" s="22"/>
      <c r="P34" s="22"/>
      <c r="Q34" s="22"/>
      <c r="R34" s="22">
        <f t="shared" si="3"/>
        <v>504000</v>
      </c>
      <c r="S34" s="23">
        <f>I34-R34</f>
        <v>3996000</v>
      </c>
      <c r="T34" s="23"/>
      <c r="U34" s="64"/>
      <c r="V34" s="23">
        <f t="shared" si="4"/>
        <v>3996000</v>
      </c>
      <c r="W34" s="63"/>
    </row>
    <row r="35" spans="1:23" ht="24" x14ac:dyDescent="0.2">
      <c r="A35" s="19" t="s">
        <v>85</v>
      </c>
      <c r="B35" s="20" t="s">
        <v>32</v>
      </c>
      <c r="C35" s="22">
        <v>5500000</v>
      </c>
      <c r="D35" s="22">
        <v>30</v>
      </c>
      <c r="E35" s="22">
        <f>+C35/30*D35</f>
        <v>5500000</v>
      </c>
      <c r="F35" s="22"/>
      <c r="G35" s="22"/>
      <c r="H35" s="22">
        <v>2750000</v>
      </c>
      <c r="I35" s="22">
        <f t="shared" ref="I35:I90" si="12">SUM(E35:G35)+H35</f>
        <v>8250000</v>
      </c>
      <c r="J35" s="22">
        <f t="shared" si="2"/>
        <v>220000</v>
      </c>
      <c r="K35" s="22">
        <f t="shared" si="5"/>
        <v>275000</v>
      </c>
      <c r="L35" s="22"/>
      <c r="M35" s="22"/>
      <c r="N35" s="22">
        <v>129146</v>
      </c>
      <c r="O35" s="22"/>
      <c r="P35" s="22"/>
      <c r="Q35" s="22"/>
      <c r="R35" s="22">
        <f t="shared" si="3"/>
        <v>624146</v>
      </c>
      <c r="S35" s="23">
        <f>+I35-R35</f>
        <v>7625854</v>
      </c>
      <c r="T35" s="23"/>
      <c r="U35" s="64"/>
      <c r="V35" s="23">
        <f t="shared" si="4"/>
        <v>7625854</v>
      </c>
      <c r="W35" s="63" t="s">
        <v>86</v>
      </c>
    </row>
    <row r="36" spans="1:23" x14ac:dyDescent="0.2">
      <c r="A36" s="30" t="s">
        <v>82</v>
      </c>
      <c r="B36" s="26" t="s">
        <v>32</v>
      </c>
      <c r="C36" s="22">
        <v>5350000</v>
      </c>
      <c r="D36" s="22">
        <v>29</v>
      </c>
      <c r="E36" s="22">
        <f t="shared" si="10"/>
        <v>5171666.666666667</v>
      </c>
      <c r="F36" s="22"/>
      <c r="G36" s="22">
        <v>428000</v>
      </c>
      <c r="H36" s="22">
        <v>178333</v>
      </c>
      <c r="I36" s="22">
        <f t="shared" si="12"/>
        <v>5777999.666666667</v>
      </c>
      <c r="J36" s="22">
        <v>214000</v>
      </c>
      <c r="K36" s="22">
        <v>267500</v>
      </c>
      <c r="L36" s="22"/>
      <c r="M36" s="22"/>
      <c r="N36" s="22">
        <v>187215</v>
      </c>
      <c r="O36" s="22"/>
      <c r="P36" s="22"/>
      <c r="Q36" s="22">
        <v>1007046.67</v>
      </c>
      <c r="R36" s="22">
        <f t="shared" si="3"/>
        <v>1675761.67</v>
      </c>
      <c r="S36" s="23">
        <f>I36-R36</f>
        <v>4102237.9966666671</v>
      </c>
      <c r="T36" s="23"/>
      <c r="U36" s="64"/>
      <c r="V36" s="23">
        <f t="shared" si="4"/>
        <v>4102237.9966666671</v>
      </c>
      <c r="W36" s="63" t="s">
        <v>83</v>
      </c>
    </row>
    <row r="37" spans="1:23" x14ac:dyDescent="0.2">
      <c r="A37" s="19" t="s">
        <v>92</v>
      </c>
      <c r="B37" s="20" t="s">
        <v>32</v>
      </c>
      <c r="C37" s="22">
        <v>5000000</v>
      </c>
      <c r="D37" s="22">
        <v>30</v>
      </c>
      <c r="E37" s="22">
        <f t="shared" si="10"/>
        <v>5000000</v>
      </c>
      <c r="F37" s="22"/>
      <c r="G37" s="22"/>
      <c r="H37" s="22"/>
      <c r="I37" s="22">
        <f t="shared" si="12"/>
        <v>5000000</v>
      </c>
      <c r="J37" s="22">
        <f t="shared" si="2"/>
        <v>200000</v>
      </c>
      <c r="K37" s="22">
        <f t="shared" si="5"/>
        <v>250000</v>
      </c>
      <c r="L37" s="22"/>
      <c r="M37" s="22"/>
      <c r="N37" s="22">
        <v>139833</v>
      </c>
      <c r="O37" s="22"/>
      <c r="P37" s="22"/>
      <c r="Q37" s="22"/>
      <c r="R37" s="22">
        <f t="shared" si="3"/>
        <v>589833</v>
      </c>
      <c r="S37" s="23">
        <f>+I37-R37</f>
        <v>4410167</v>
      </c>
      <c r="T37" s="23"/>
      <c r="U37" s="64"/>
      <c r="V37" s="23">
        <f t="shared" si="4"/>
        <v>4410167</v>
      </c>
      <c r="W37" s="63" t="s">
        <v>93</v>
      </c>
    </row>
    <row r="38" spans="1:23" x14ac:dyDescent="0.25">
      <c r="A38" s="19" t="s">
        <v>78</v>
      </c>
      <c r="B38" s="20" t="s">
        <v>32</v>
      </c>
      <c r="C38" s="22">
        <v>4000000</v>
      </c>
      <c r="D38" s="22">
        <v>30</v>
      </c>
      <c r="E38" s="22">
        <f t="shared" si="10"/>
        <v>4000000.0000000005</v>
      </c>
      <c r="F38" s="22"/>
      <c r="G38" s="22"/>
      <c r="H38" s="22"/>
      <c r="I38" s="22">
        <f t="shared" si="12"/>
        <v>4000000.0000000005</v>
      </c>
      <c r="J38" s="22">
        <f t="shared" si="2"/>
        <v>160000.00000000003</v>
      </c>
      <c r="K38" s="22">
        <f t="shared" si="5"/>
        <v>200000.00000000003</v>
      </c>
      <c r="L38" s="22"/>
      <c r="M38" s="22"/>
      <c r="N38" s="22">
        <v>0</v>
      </c>
      <c r="O38" s="22"/>
      <c r="P38" s="22"/>
      <c r="Q38" s="22"/>
      <c r="R38" s="22">
        <f t="shared" si="3"/>
        <v>360000.00000000006</v>
      </c>
      <c r="S38" s="23">
        <f>+I38-R38</f>
        <v>3640000.0000000005</v>
      </c>
      <c r="T38" s="23"/>
      <c r="U38" s="64"/>
      <c r="V38" s="23">
        <f t="shared" si="4"/>
        <v>3640000.0000000005</v>
      </c>
      <c r="W38" s="61" t="s">
        <v>79</v>
      </c>
    </row>
    <row r="39" spans="1:23" ht="26.25" customHeight="1" x14ac:dyDescent="0.25">
      <c r="A39" s="19" t="s">
        <v>87</v>
      </c>
      <c r="B39" s="20" t="s">
        <v>32</v>
      </c>
      <c r="C39" s="22">
        <v>4500000</v>
      </c>
      <c r="D39" s="22">
        <v>30</v>
      </c>
      <c r="E39" s="22">
        <f t="shared" si="10"/>
        <v>4500000</v>
      </c>
      <c r="F39" s="22"/>
      <c r="G39" s="22"/>
      <c r="H39" s="22"/>
      <c r="I39" s="22">
        <f t="shared" si="12"/>
        <v>4500000</v>
      </c>
      <c r="J39" s="22">
        <f t="shared" si="2"/>
        <v>180000</v>
      </c>
      <c r="K39" s="22">
        <f t="shared" si="5"/>
        <v>225000</v>
      </c>
      <c r="L39" s="22"/>
      <c r="M39" s="22"/>
      <c r="N39" s="22">
        <v>99000</v>
      </c>
      <c r="O39" s="22"/>
      <c r="P39" s="22"/>
      <c r="Q39" s="22"/>
      <c r="R39" s="22">
        <f t="shared" si="3"/>
        <v>504000</v>
      </c>
      <c r="S39" s="23">
        <f>+I39-R39</f>
        <v>3996000</v>
      </c>
      <c r="T39" s="23"/>
      <c r="U39" s="64"/>
      <c r="V39" s="23">
        <f t="shared" si="4"/>
        <v>3996000</v>
      </c>
      <c r="W39" s="61" t="s">
        <v>79</v>
      </c>
    </row>
    <row r="40" spans="1:23" ht="24" x14ac:dyDescent="0.25">
      <c r="A40" s="19" t="s">
        <v>89</v>
      </c>
      <c r="B40" s="20" t="s">
        <v>32</v>
      </c>
      <c r="C40" s="22">
        <v>2500000</v>
      </c>
      <c r="D40" s="22">
        <v>30</v>
      </c>
      <c r="E40" s="22">
        <f t="shared" si="10"/>
        <v>2500000</v>
      </c>
      <c r="F40" s="22"/>
      <c r="G40" s="22"/>
      <c r="H40" s="22"/>
      <c r="I40" s="22">
        <f t="shared" si="12"/>
        <v>2500000</v>
      </c>
      <c r="J40" s="22">
        <f t="shared" si="2"/>
        <v>100000</v>
      </c>
      <c r="K40" s="22">
        <f t="shared" ref="K40:K45" si="13">+E40*4%</f>
        <v>100000</v>
      </c>
      <c r="L40" s="22"/>
      <c r="M40" s="22"/>
      <c r="N40" s="22"/>
      <c r="O40" s="22"/>
      <c r="P40" s="22"/>
      <c r="Q40" s="22"/>
      <c r="R40" s="22">
        <f t="shared" si="3"/>
        <v>200000</v>
      </c>
      <c r="S40" s="23">
        <f>+I40-R40</f>
        <v>2300000</v>
      </c>
      <c r="T40" s="23"/>
      <c r="U40" s="64"/>
      <c r="V40" s="23">
        <f t="shared" si="4"/>
        <v>2300000</v>
      </c>
      <c r="W40" s="61" t="s">
        <v>79</v>
      </c>
    </row>
    <row r="41" spans="1:23" x14ac:dyDescent="0.25">
      <c r="A41" s="19" t="s">
        <v>90</v>
      </c>
      <c r="B41" s="20" t="s">
        <v>32</v>
      </c>
      <c r="C41" s="22">
        <v>4500000</v>
      </c>
      <c r="D41" s="22">
        <v>30</v>
      </c>
      <c r="E41" s="22">
        <f t="shared" si="10"/>
        <v>4500000</v>
      </c>
      <c r="F41" s="22"/>
      <c r="G41" s="22">
        <v>300000</v>
      </c>
      <c r="H41" s="22"/>
      <c r="I41" s="22">
        <f t="shared" si="12"/>
        <v>4800000</v>
      </c>
      <c r="J41" s="22">
        <f t="shared" si="2"/>
        <v>180000</v>
      </c>
      <c r="K41" s="22">
        <f t="shared" si="5"/>
        <v>225000</v>
      </c>
      <c r="L41" s="22"/>
      <c r="M41" s="22"/>
      <c r="N41" s="22">
        <v>8021</v>
      </c>
      <c r="O41" s="22"/>
      <c r="P41" s="22"/>
      <c r="Q41" s="22"/>
      <c r="R41" s="22">
        <f t="shared" si="3"/>
        <v>413021</v>
      </c>
      <c r="S41" s="23">
        <f>+I41-R41</f>
        <v>4386979</v>
      </c>
      <c r="T41" s="23"/>
      <c r="U41" s="64"/>
      <c r="V41" s="23">
        <f t="shared" si="4"/>
        <v>4386979</v>
      </c>
      <c r="W41" s="61" t="s">
        <v>79</v>
      </c>
    </row>
    <row r="42" spans="1:23" ht="30.75" customHeight="1" x14ac:dyDescent="0.25">
      <c r="A42" s="19" t="s">
        <v>94</v>
      </c>
      <c r="B42" s="20" t="s">
        <v>32</v>
      </c>
      <c r="C42" s="22">
        <v>4815000</v>
      </c>
      <c r="D42" s="22">
        <v>28</v>
      </c>
      <c r="E42" s="22">
        <f t="shared" si="10"/>
        <v>4494000</v>
      </c>
      <c r="F42" s="22"/>
      <c r="G42" s="22">
        <v>350000</v>
      </c>
      <c r="H42" s="22">
        <v>321000</v>
      </c>
      <c r="I42" s="22">
        <f t="shared" si="12"/>
        <v>5165000</v>
      </c>
      <c r="J42" s="22">
        <v>192600</v>
      </c>
      <c r="K42" s="22">
        <v>240750</v>
      </c>
      <c r="L42" s="22"/>
      <c r="M42" s="22"/>
      <c r="N42" s="22">
        <v>89000</v>
      </c>
      <c r="O42" s="22"/>
      <c r="P42" s="22"/>
      <c r="Q42" s="22"/>
      <c r="R42" s="22">
        <f t="shared" si="3"/>
        <v>522350</v>
      </c>
      <c r="S42" s="23">
        <f>I42-R42</f>
        <v>4642650</v>
      </c>
      <c r="T42" s="23"/>
      <c r="U42" s="64"/>
      <c r="V42" s="23">
        <f t="shared" si="4"/>
        <v>4642650</v>
      </c>
      <c r="W42" s="19" t="s">
        <v>95</v>
      </c>
    </row>
    <row r="43" spans="1:23" x14ac:dyDescent="0.2">
      <c r="A43" s="19" t="s">
        <v>96</v>
      </c>
      <c r="B43" s="20" t="s">
        <v>32</v>
      </c>
      <c r="C43" s="22">
        <v>6900000</v>
      </c>
      <c r="D43" s="22">
        <v>22</v>
      </c>
      <c r="E43" s="22">
        <f t="shared" si="10"/>
        <v>5060000</v>
      </c>
      <c r="F43" s="22"/>
      <c r="G43" s="22"/>
      <c r="H43" s="22">
        <v>1840000</v>
      </c>
      <c r="I43" s="22">
        <f t="shared" si="12"/>
        <v>6900000</v>
      </c>
      <c r="J43" s="22">
        <v>276000</v>
      </c>
      <c r="K43" s="22">
        <v>345000</v>
      </c>
      <c r="L43" s="22"/>
      <c r="M43" s="22"/>
      <c r="N43" s="22">
        <v>88069</v>
      </c>
      <c r="O43" s="22">
        <v>1500000</v>
      </c>
      <c r="P43" s="22"/>
      <c r="Q43" s="22"/>
      <c r="R43" s="22">
        <f t="shared" si="3"/>
        <v>2209069</v>
      </c>
      <c r="S43" s="23">
        <f>I43-R43</f>
        <v>4690931</v>
      </c>
      <c r="T43" s="23"/>
      <c r="U43" s="64"/>
      <c r="V43" s="23">
        <f t="shared" si="4"/>
        <v>4690931</v>
      </c>
      <c r="W43" s="63" t="s">
        <v>97</v>
      </c>
    </row>
    <row r="44" spans="1:23" x14ac:dyDescent="0.2">
      <c r="A44" s="19" t="s">
        <v>98</v>
      </c>
      <c r="B44" s="20" t="s">
        <v>32</v>
      </c>
      <c r="C44" s="22">
        <v>4000000</v>
      </c>
      <c r="D44" s="22">
        <v>30</v>
      </c>
      <c r="E44" s="22">
        <f t="shared" si="10"/>
        <v>4000000.0000000005</v>
      </c>
      <c r="F44" s="22"/>
      <c r="G44" s="22"/>
      <c r="H44" s="22"/>
      <c r="I44" s="22">
        <f t="shared" si="12"/>
        <v>4000000.0000000005</v>
      </c>
      <c r="J44" s="22">
        <f t="shared" si="2"/>
        <v>160000.00000000003</v>
      </c>
      <c r="K44" s="22">
        <f t="shared" si="5"/>
        <v>200000.00000000003</v>
      </c>
      <c r="L44" s="22"/>
      <c r="M44" s="22"/>
      <c r="N44" s="22">
        <v>31000</v>
      </c>
      <c r="O44" s="22"/>
      <c r="P44" s="22"/>
      <c r="Q44" s="22"/>
      <c r="R44" s="22">
        <f t="shared" si="3"/>
        <v>391000.00000000006</v>
      </c>
      <c r="S44" s="23">
        <f>I44-R44</f>
        <v>3609000.0000000005</v>
      </c>
      <c r="T44" s="23"/>
      <c r="U44" s="64"/>
      <c r="V44" s="23">
        <f t="shared" si="4"/>
        <v>3609000.0000000005</v>
      </c>
      <c r="W44" s="63"/>
    </row>
    <row r="45" spans="1:23" ht="24" customHeight="1" x14ac:dyDescent="0.2">
      <c r="A45" s="19" t="s">
        <v>100</v>
      </c>
      <c r="B45" s="20" t="s">
        <v>32</v>
      </c>
      <c r="C45" s="22">
        <v>2000000</v>
      </c>
      <c r="D45" s="22">
        <v>30</v>
      </c>
      <c r="E45" s="22">
        <f t="shared" si="10"/>
        <v>2000000.0000000002</v>
      </c>
      <c r="F45" s="22"/>
      <c r="G45" s="22">
        <v>500000</v>
      </c>
      <c r="H45" s="22"/>
      <c r="I45" s="22">
        <f t="shared" si="12"/>
        <v>2500000</v>
      </c>
      <c r="J45" s="22">
        <f t="shared" si="2"/>
        <v>80000.000000000015</v>
      </c>
      <c r="K45" s="22">
        <f t="shared" si="13"/>
        <v>80000.000000000015</v>
      </c>
      <c r="L45" s="22"/>
      <c r="M45" s="22"/>
      <c r="N45" s="25">
        <v>0</v>
      </c>
      <c r="O45" s="22"/>
      <c r="P45" s="22">
        <v>163485</v>
      </c>
      <c r="Q45" s="22">
        <v>152804</v>
      </c>
      <c r="R45" s="22">
        <f t="shared" si="3"/>
        <v>476289</v>
      </c>
      <c r="S45" s="23">
        <f>+I45-R45</f>
        <v>2023711</v>
      </c>
      <c r="T45" s="23"/>
      <c r="U45" s="64"/>
      <c r="V45" s="23">
        <f t="shared" si="4"/>
        <v>2023711</v>
      </c>
      <c r="W45" s="63" t="s">
        <v>101</v>
      </c>
    </row>
    <row r="46" spans="1:23" ht="18" customHeight="1" x14ac:dyDescent="0.2">
      <c r="A46" s="19" t="s">
        <v>103</v>
      </c>
      <c r="B46" s="20" t="s">
        <v>32</v>
      </c>
      <c r="C46" s="22">
        <v>344727</v>
      </c>
      <c r="D46" s="22">
        <v>30</v>
      </c>
      <c r="E46" s="22">
        <f t="shared" si="10"/>
        <v>344727</v>
      </c>
      <c r="F46" s="22"/>
      <c r="G46" s="22"/>
      <c r="H46" s="22"/>
      <c r="I46" s="22">
        <f t="shared" si="12"/>
        <v>344727</v>
      </c>
      <c r="J46" s="22"/>
      <c r="K46" s="22"/>
      <c r="L46" s="22"/>
      <c r="M46" s="22"/>
      <c r="N46" s="25"/>
      <c r="O46" s="22"/>
      <c r="P46" s="22"/>
      <c r="Q46" s="22"/>
      <c r="R46" s="22">
        <f t="shared" si="3"/>
        <v>0</v>
      </c>
      <c r="S46" s="23">
        <f>+I46-R46</f>
        <v>344727</v>
      </c>
      <c r="T46" s="23"/>
      <c r="U46" s="64"/>
      <c r="V46" s="23">
        <f t="shared" si="4"/>
        <v>344727</v>
      </c>
      <c r="W46" s="63"/>
    </row>
    <row r="47" spans="1:23" x14ac:dyDescent="0.2">
      <c r="A47" s="30" t="s">
        <v>180</v>
      </c>
      <c r="B47" s="26" t="s">
        <v>32</v>
      </c>
      <c r="C47" s="22">
        <v>689455</v>
      </c>
      <c r="D47" s="22">
        <v>16</v>
      </c>
      <c r="E47" s="22">
        <f t="shared" si="10"/>
        <v>367709.33333333331</v>
      </c>
      <c r="F47" s="22"/>
      <c r="G47" s="22"/>
      <c r="H47" s="22"/>
      <c r="I47" s="22">
        <f t="shared" ref="I47" si="14">SUM(E47:G47)+H47</f>
        <v>367709.33333333331</v>
      </c>
      <c r="J47" s="22">
        <v>0</v>
      </c>
      <c r="K47" s="22"/>
      <c r="L47" s="22"/>
      <c r="M47" s="22"/>
      <c r="N47" s="22"/>
      <c r="O47" s="22"/>
      <c r="P47" s="22"/>
      <c r="Q47" s="22"/>
      <c r="R47" s="22">
        <f t="shared" si="3"/>
        <v>0</v>
      </c>
      <c r="S47" s="23">
        <f>I47-R47</f>
        <v>367709.33333333331</v>
      </c>
      <c r="T47" s="23"/>
      <c r="U47" s="64"/>
      <c r="V47" s="23">
        <f t="shared" si="4"/>
        <v>367709.33333333331</v>
      </c>
      <c r="W47" s="63"/>
    </row>
    <row r="48" spans="1:23" ht="18" customHeight="1" x14ac:dyDescent="0.2">
      <c r="A48" s="19" t="s">
        <v>102</v>
      </c>
      <c r="B48" s="20" t="s">
        <v>32</v>
      </c>
      <c r="C48" s="22">
        <v>689455</v>
      </c>
      <c r="D48" s="22">
        <v>30</v>
      </c>
      <c r="E48" s="22">
        <f t="shared" si="10"/>
        <v>689455</v>
      </c>
      <c r="F48" s="22"/>
      <c r="G48" s="22"/>
      <c r="H48" s="22"/>
      <c r="I48" s="22">
        <f t="shared" si="12"/>
        <v>689455</v>
      </c>
      <c r="J48" s="22"/>
      <c r="K48" s="22"/>
      <c r="L48" s="22"/>
      <c r="M48" s="22"/>
      <c r="N48" s="25"/>
      <c r="O48" s="22"/>
      <c r="P48" s="22"/>
      <c r="Q48" s="22"/>
      <c r="R48" s="22"/>
      <c r="S48" s="23">
        <f>+I48-R48</f>
        <v>689455</v>
      </c>
      <c r="T48" s="23"/>
      <c r="U48" s="64"/>
      <c r="V48" s="23">
        <f t="shared" si="4"/>
        <v>689455</v>
      </c>
      <c r="W48" s="63"/>
    </row>
    <row r="49" spans="1:26" x14ac:dyDescent="0.2">
      <c r="A49" s="30" t="s">
        <v>181</v>
      </c>
      <c r="B49" s="26" t="s">
        <v>32</v>
      </c>
      <c r="C49" s="22">
        <v>689455</v>
      </c>
      <c r="D49" s="22">
        <v>30</v>
      </c>
      <c r="E49" s="22">
        <f t="shared" si="10"/>
        <v>689455</v>
      </c>
      <c r="F49" s="22"/>
      <c r="G49" s="22"/>
      <c r="H49" s="22"/>
      <c r="I49" s="22">
        <f t="shared" ref="I49" si="15">SUM(E49:G49)+H49</f>
        <v>689455</v>
      </c>
      <c r="J49" s="22">
        <v>0</v>
      </c>
      <c r="K49" s="22"/>
      <c r="L49" s="22"/>
      <c r="M49" s="22"/>
      <c r="N49" s="22"/>
      <c r="O49" s="22"/>
      <c r="P49" s="22"/>
      <c r="Q49" s="22"/>
      <c r="R49" s="22">
        <f t="shared" ref="R49:R90" si="16">SUM(J49:Q49)</f>
        <v>0</v>
      </c>
      <c r="S49" s="23">
        <f>I49-R49</f>
        <v>689455</v>
      </c>
      <c r="T49" s="23"/>
      <c r="U49" s="64"/>
      <c r="V49" s="23">
        <f t="shared" si="4"/>
        <v>689455</v>
      </c>
      <c r="W49" s="63"/>
    </row>
    <row r="50" spans="1:26" x14ac:dyDescent="0.2">
      <c r="A50" s="19" t="s">
        <v>104</v>
      </c>
      <c r="B50" s="20" t="s">
        <v>105</v>
      </c>
      <c r="C50" s="22">
        <v>800000</v>
      </c>
      <c r="D50" s="22">
        <v>30</v>
      </c>
      <c r="E50" s="22">
        <f t="shared" si="10"/>
        <v>800000</v>
      </c>
      <c r="F50" s="22">
        <v>77700</v>
      </c>
      <c r="G50" s="22"/>
      <c r="H50" s="22"/>
      <c r="I50" s="22">
        <f t="shared" si="12"/>
        <v>877700</v>
      </c>
      <c r="J50" s="22">
        <f t="shared" ref="J50:J56" si="17">+E50*4%</f>
        <v>32000</v>
      </c>
      <c r="K50" s="22">
        <f t="shared" ref="K50:K56" si="18">+E50*4%</f>
        <v>32000</v>
      </c>
      <c r="L50" s="22"/>
      <c r="M50" s="22"/>
      <c r="N50" s="25"/>
      <c r="O50" s="22"/>
      <c r="P50" s="22"/>
      <c r="Q50" s="22"/>
      <c r="R50" s="22">
        <f t="shared" si="16"/>
        <v>64000</v>
      </c>
      <c r="S50" s="23">
        <f>+I50-R50</f>
        <v>813700</v>
      </c>
      <c r="T50" s="23"/>
      <c r="U50" s="64"/>
      <c r="V50" s="23">
        <f t="shared" si="4"/>
        <v>813700</v>
      </c>
      <c r="W50" s="63"/>
    </row>
    <row r="51" spans="1:26" ht="21.75" customHeight="1" x14ac:dyDescent="0.2">
      <c r="A51" s="19" t="s">
        <v>106</v>
      </c>
      <c r="B51" s="20" t="s">
        <v>32</v>
      </c>
      <c r="C51" s="22">
        <v>1100000</v>
      </c>
      <c r="D51" s="22">
        <v>30</v>
      </c>
      <c r="E51" s="22">
        <f>C51/30*D51</f>
        <v>1100000</v>
      </c>
      <c r="F51" s="22">
        <v>77700</v>
      </c>
      <c r="G51" s="22"/>
      <c r="H51" s="22"/>
      <c r="I51" s="22">
        <f t="shared" si="12"/>
        <v>1177700</v>
      </c>
      <c r="J51" s="22">
        <f t="shared" si="17"/>
        <v>44000</v>
      </c>
      <c r="K51" s="22">
        <f t="shared" si="18"/>
        <v>44000</v>
      </c>
      <c r="L51" s="22"/>
      <c r="M51" s="22"/>
      <c r="N51" s="22">
        <v>0</v>
      </c>
      <c r="O51" s="22"/>
      <c r="P51" s="22"/>
      <c r="Q51" s="22"/>
      <c r="R51" s="22">
        <f t="shared" si="16"/>
        <v>88000</v>
      </c>
      <c r="S51" s="23">
        <f>+I51-R51</f>
        <v>1089700</v>
      </c>
      <c r="T51" s="23"/>
      <c r="U51" s="64"/>
      <c r="V51" s="23">
        <f t="shared" si="4"/>
        <v>1089700</v>
      </c>
      <c r="W51" s="63"/>
    </row>
    <row r="52" spans="1:26" x14ac:dyDescent="0.25">
      <c r="A52" s="19" t="s">
        <v>182</v>
      </c>
      <c r="B52" s="20" t="s">
        <v>32</v>
      </c>
      <c r="C52" s="22">
        <v>689454</v>
      </c>
      <c r="D52" s="22">
        <v>30</v>
      </c>
      <c r="E52" s="22">
        <f t="shared" ref="E52" si="19">+C52/30*D52</f>
        <v>689454</v>
      </c>
      <c r="F52" s="22">
        <v>77700</v>
      </c>
      <c r="G52" s="22"/>
      <c r="H52" s="22"/>
      <c r="I52" s="22">
        <f t="shared" ref="I52" si="20">SUM(E52:G52)+H52</f>
        <v>767154</v>
      </c>
      <c r="J52" s="22">
        <f t="shared" si="17"/>
        <v>27578.16</v>
      </c>
      <c r="K52" s="22">
        <f t="shared" si="18"/>
        <v>27578.16</v>
      </c>
      <c r="L52" s="22"/>
      <c r="M52" s="22"/>
      <c r="N52" s="25"/>
      <c r="O52" s="22"/>
      <c r="P52" s="22"/>
      <c r="Q52" s="22"/>
      <c r="R52" s="22">
        <f t="shared" si="16"/>
        <v>55156.32</v>
      </c>
      <c r="S52" s="23">
        <f>+I52-R52</f>
        <v>711997.68</v>
      </c>
      <c r="T52" s="23"/>
      <c r="U52" s="64"/>
      <c r="V52" s="23">
        <f t="shared" si="4"/>
        <v>711997.68</v>
      </c>
      <c r="W52" s="60" t="s">
        <v>174</v>
      </c>
    </row>
    <row r="53" spans="1:26" ht="17.25" customHeight="1" x14ac:dyDescent="0.2">
      <c r="A53" s="19" t="s">
        <v>107</v>
      </c>
      <c r="B53" s="20" t="s">
        <v>32</v>
      </c>
      <c r="C53" s="22">
        <v>1200000</v>
      </c>
      <c r="D53" s="22">
        <v>28</v>
      </c>
      <c r="E53" s="22">
        <f>(C53/30*D53)</f>
        <v>1120000</v>
      </c>
      <c r="F53" s="22">
        <v>77700</v>
      </c>
      <c r="G53" s="22"/>
      <c r="H53" s="22">
        <v>80000</v>
      </c>
      <c r="I53" s="22">
        <f t="shared" si="12"/>
        <v>1277700</v>
      </c>
      <c r="J53" s="22">
        <v>48000</v>
      </c>
      <c r="K53" s="22">
        <v>48000</v>
      </c>
      <c r="L53" s="22"/>
      <c r="M53" s="22"/>
      <c r="N53" s="22">
        <v>0</v>
      </c>
      <c r="O53" s="22"/>
      <c r="P53" s="22"/>
      <c r="Q53" s="22"/>
      <c r="R53" s="22">
        <f t="shared" si="16"/>
        <v>96000</v>
      </c>
      <c r="S53" s="23">
        <f>+I53-R53</f>
        <v>1181700</v>
      </c>
      <c r="T53" s="23"/>
      <c r="U53" s="64"/>
      <c r="V53" s="23">
        <f t="shared" si="4"/>
        <v>1181700</v>
      </c>
      <c r="W53" s="63" t="s">
        <v>108</v>
      </c>
    </row>
    <row r="54" spans="1:26" ht="24" x14ac:dyDescent="0.2">
      <c r="A54" s="19" t="s">
        <v>109</v>
      </c>
      <c r="B54" s="20" t="s">
        <v>32</v>
      </c>
      <c r="C54" s="22">
        <v>900000</v>
      </c>
      <c r="D54" s="22">
        <v>30</v>
      </c>
      <c r="E54" s="22">
        <f>C54/30*D54</f>
        <v>900000</v>
      </c>
      <c r="F54" s="22">
        <v>77700</v>
      </c>
      <c r="G54" s="22"/>
      <c r="H54" s="22"/>
      <c r="I54" s="22">
        <f t="shared" si="12"/>
        <v>977700</v>
      </c>
      <c r="J54" s="22">
        <f t="shared" si="17"/>
        <v>36000</v>
      </c>
      <c r="K54" s="22">
        <f t="shared" si="18"/>
        <v>36000</v>
      </c>
      <c r="L54" s="22"/>
      <c r="M54" s="22"/>
      <c r="N54" s="22">
        <v>0</v>
      </c>
      <c r="O54" s="22"/>
      <c r="P54" s="22"/>
      <c r="Q54" s="22"/>
      <c r="R54" s="22">
        <f t="shared" si="16"/>
        <v>72000</v>
      </c>
      <c r="S54" s="23">
        <f>+I54-R54</f>
        <v>905700</v>
      </c>
      <c r="T54" s="23"/>
      <c r="U54" s="64"/>
      <c r="V54" s="23">
        <f t="shared" si="4"/>
        <v>905700</v>
      </c>
      <c r="W54" s="63" t="s">
        <v>110</v>
      </c>
    </row>
    <row r="55" spans="1:26" x14ac:dyDescent="0.2">
      <c r="A55" s="30" t="s">
        <v>111</v>
      </c>
      <c r="B55" s="26" t="s">
        <v>32</v>
      </c>
      <c r="C55" s="22">
        <v>2500000</v>
      </c>
      <c r="D55" s="22">
        <v>28</v>
      </c>
      <c r="E55" s="22">
        <f>+C55/30*D55</f>
        <v>2333333.333333333</v>
      </c>
      <c r="F55" s="22"/>
      <c r="G55" s="22"/>
      <c r="H55" s="22">
        <v>166667</v>
      </c>
      <c r="I55" s="22">
        <f t="shared" si="12"/>
        <v>2500000.333333333</v>
      </c>
      <c r="J55" s="22">
        <v>100000</v>
      </c>
      <c r="K55" s="22">
        <v>100000</v>
      </c>
      <c r="L55" s="22"/>
      <c r="M55" s="22"/>
      <c r="N55" s="22">
        <v>0</v>
      </c>
      <c r="O55" s="22"/>
      <c r="P55" s="22"/>
      <c r="Q55" s="22"/>
      <c r="R55" s="22">
        <f t="shared" si="16"/>
        <v>200000</v>
      </c>
      <c r="S55" s="23">
        <f t="shared" ref="S55:S61" si="21">I55-R55</f>
        <v>2300000.333333333</v>
      </c>
      <c r="T55" s="23"/>
      <c r="U55" s="64"/>
      <c r="V55" s="23">
        <f t="shared" si="4"/>
        <v>2300000.333333333</v>
      </c>
      <c r="W55" s="63" t="s">
        <v>112</v>
      </c>
    </row>
    <row r="56" spans="1:26" x14ac:dyDescent="0.2">
      <c r="A56" s="19" t="s">
        <v>113</v>
      </c>
      <c r="B56" s="20" t="s">
        <v>32</v>
      </c>
      <c r="C56" s="22">
        <v>2500000</v>
      </c>
      <c r="D56" s="22">
        <v>27</v>
      </c>
      <c r="E56" s="22">
        <f>+C56/30*D56+166674</f>
        <v>2416674</v>
      </c>
      <c r="F56" s="22"/>
      <c r="G56" s="22">
        <v>500000</v>
      </c>
      <c r="H56" s="22"/>
      <c r="I56" s="22">
        <f t="shared" si="12"/>
        <v>2916674</v>
      </c>
      <c r="J56" s="22">
        <f t="shared" si="17"/>
        <v>96666.96</v>
      </c>
      <c r="K56" s="22">
        <f t="shared" si="18"/>
        <v>96666.96</v>
      </c>
      <c r="L56" s="22"/>
      <c r="M56" s="22"/>
      <c r="N56" s="22">
        <v>0</v>
      </c>
      <c r="O56" s="22"/>
      <c r="P56" s="22"/>
      <c r="Q56" s="22">
        <v>766228</v>
      </c>
      <c r="R56" s="22">
        <f t="shared" si="16"/>
        <v>959561.92</v>
      </c>
      <c r="S56" s="23">
        <f t="shared" si="21"/>
        <v>1957112.08</v>
      </c>
      <c r="T56" s="23"/>
      <c r="U56" s="64"/>
      <c r="V56" s="23">
        <f t="shared" si="4"/>
        <v>1957112.08</v>
      </c>
      <c r="W56" s="63" t="s">
        <v>114</v>
      </c>
    </row>
    <row r="57" spans="1:26" x14ac:dyDescent="0.2">
      <c r="A57" s="19" t="s">
        <v>115</v>
      </c>
      <c r="B57" s="20" t="s">
        <v>32</v>
      </c>
      <c r="C57" s="22">
        <v>344727</v>
      </c>
      <c r="D57" s="22">
        <v>30</v>
      </c>
      <c r="E57" s="22">
        <f t="shared" ref="E57" si="22">+C57/30*D57</f>
        <v>344727</v>
      </c>
      <c r="F57" s="22"/>
      <c r="G57" s="22"/>
      <c r="H57" s="22"/>
      <c r="I57" s="22">
        <f t="shared" si="12"/>
        <v>344727</v>
      </c>
      <c r="J57" s="22"/>
      <c r="K57" s="22"/>
      <c r="L57" s="22"/>
      <c r="M57" s="22"/>
      <c r="N57" s="22"/>
      <c r="O57" s="22"/>
      <c r="P57" s="22"/>
      <c r="Q57" s="22"/>
      <c r="R57" s="22">
        <f t="shared" si="16"/>
        <v>0</v>
      </c>
      <c r="S57" s="23">
        <f t="shared" si="21"/>
        <v>344727</v>
      </c>
      <c r="T57" s="23"/>
      <c r="U57" s="64"/>
      <c r="V57" s="23">
        <f t="shared" si="4"/>
        <v>344727</v>
      </c>
      <c r="W57" s="63"/>
    </row>
    <row r="58" spans="1:26" ht="17.25" customHeight="1" x14ac:dyDescent="0.25">
      <c r="A58" s="19" t="s">
        <v>116</v>
      </c>
      <c r="B58" s="20" t="s">
        <v>32</v>
      </c>
      <c r="C58" s="22">
        <v>3000000</v>
      </c>
      <c r="D58" s="22">
        <v>30</v>
      </c>
      <c r="E58" s="22">
        <f>C58/30*D58</f>
        <v>3000000</v>
      </c>
      <c r="F58" s="22"/>
      <c r="G58" s="22"/>
      <c r="H58" s="22"/>
      <c r="I58" s="22">
        <f t="shared" si="12"/>
        <v>3000000</v>
      </c>
      <c r="J58" s="22">
        <f>+E58*4%</f>
        <v>120000</v>
      </c>
      <c r="K58" s="22">
        <f>+E58*5%</f>
        <v>150000</v>
      </c>
      <c r="L58" s="22"/>
      <c r="M58" s="22"/>
      <c r="N58" s="22">
        <v>0</v>
      </c>
      <c r="O58" s="22"/>
      <c r="P58" s="22"/>
      <c r="Q58" s="22"/>
      <c r="R58" s="22">
        <f t="shared" si="16"/>
        <v>270000</v>
      </c>
      <c r="S58" s="23">
        <f t="shared" si="21"/>
        <v>2730000</v>
      </c>
      <c r="T58" s="23"/>
      <c r="U58" s="64"/>
      <c r="V58" s="23">
        <f t="shared" si="4"/>
        <v>2730000</v>
      </c>
      <c r="W58" s="62" t="s">
        <v>117</v>
      </c>
    </row>
    <row r="59" spans="1:26" ht="15.75" customHeight="1" x14ac:dyDescent="0.2">
      <c r="A59" s="19" t="s">
        <v>118</v>
      </c>
      <c r="B59" s="20" t="s">
        <v>32</v>
      </c>
      <c r="C59" s="22">
        <v>1300000</v>
      </c>
      <c r="D59" s="22">
        <v>30</v>
      </c>
      <c r="E59" s="22">
        <f>(C59/30*D59)</f>
        <v>1300000</v>
      </c>
      <c r="F59" s="22">
        <v>77700</v>
      </c>
      <c r="G59" s="22"/>
      <c r="H59" s="22"/>
      <c r="I59" s="22">
        <f t="shared" si="12"/>
        <v>1377700</v>
      </c>
      <c r="J59" s="22">
        <f>+E59*4%</f>
        <v>52000</v>
      </c>
      <c r="K59" s="22">
        <f>+E59*4%</f>
        <v>52000</v>
      </c>
      <c r="L59" s="22"/>
      <c r="M59" s="22"/>
      <c r="N59" s="22">
        <v>0</v>
      </c>
      <c r="O59" s="22"/>
      <c r="P59" s="22"/>
      <c r="Q59" s="22"/>
      <c r="R59" s="22">
        <f t="shared" si="16"/>
        <v>104000</v>
      </c>
      <c r="S59" s="23">
        <f t="shared" si="21"/>
        <v>1273700</v>
      </c>
      <c r="T59" s="23"/>
      <c r="U59" s="64"/>
      <c r="V59" s="23">
        <f t="shared" si="4"/>
        <v>1273700</v>
      </c>
      <c r="W59" s="63" t="s">
        <v>119</v>
      </c>
      <c r="Z59" s="65">
        <f>1196000+644000</f>
        <v>1840000</v>
      </c>
    </row>
    <row r="60" spans="1:26" x14ac:dyDescent="0.2">
      <c r="A60" s="30" t="s">
        <v>183</v>
      </c>
      <c r="B60" s="26" t="s">
        <v>32</v>
      </c>
      <c r="C60" s="22">
        <v>689455</v>
      </c>
      <c r="D60" s="22">
        <v>30</v>
      </c>
      <c r="E60" s="22">
        <f t="shared" ref="E60" si="23">+C60/30*D60</f>
        <v>689455</v>
      </c>
      <c r="F60" s="22"/>
      <c r="G60" s="22"/>
      <c r="H60" s="22"/>
      <c r="I60" s="22">
        <f t="shared" si="12"/>
        <v>689455</v>
      </c>
      <c r="J60" s="22">
        <v>0</v>
      </c>
      <c r="K60" s="22"/>
      <c r="L60" s="22"/>
      <c r="M60" s="22"/>
      <c r="N60" s="22"/>
      <c r="O60" s="22"/>
      <c r="P60" s="22"/>
      <c r="Q60" s="22"/>
      <c r="R60" s="22">
        <f t="shared" si="16"/>
        <v>0</v>
      </c>
      <c r="S60" s="23">
        <f t="shared" si="21"/>
        <v>689455</v>
      </c>
      <c r="T60" s="23"/>
      <c r="U60" s="64"/>
      <c r="V60" s="23">
        <f t="shared" si="4"/>
        <v>689455</v>
      </c>
      <c r="W60" s="63"/>
    </row>
    <row r="61" spans="1:26" x14ac:dyDescent="0.25">
      <c r="A61" s="30" t="s">
        <v>120</v>
      </c>
      <c r="B61" s="26" t="s">
        <v>32</v>
      </c>
      <c r="C61" s="22">
        <v>344727</v>
      </c>
      <c r="D61" s="22">
        <v>30</v>
      </c>
      <c r="E61" s="22">
        <f>+C61/30*D61</f>
        <v>344727</v>
      </c>
      <c r="F61" s="22"/>
      <c r="G61" s="22"/>
      <c r="H61" s="22"/>
      <c r="I61" s="22">
        <f t="shared" si="12"/>
        <v>344727</v>
      </c>
      <c r="J61" s="22"/>
      <c r="K61" s="22"/>
      <c r="L61" s="22"/>
      <c r="M61" s="22"/>
      <c r="N61" s="22"/>
      <c r="O61" s="22"/>
      <c r="P61" s="22"/>
      <c r="Q61" s="22"/>
      <c r="R61" s="22">
        <f t="shared" si="16"/>
        <v>0</v>
      </c>
      <c r="S61" s="23">
        <f t="shared" si="21"/>
        <v>344727</v>
      </c>
      <c r="T61" s="23"/>
      <c r="U61" s="64"/>
      <c r="V61" s="23">
        <f t="shared" si="4"/>
        <v>344727</v>
      </c>
      <c r="W61" s="62"/>
      <c r="Z61" s="65">
        <f>1840000-1196000</f>
        <v>644000</v>
      </c>
    </row>
    <row r="62" spans="1:26" ht="24" x14ac:dyDescent="0.2">
      <c r="A62" s="19" t="s">
        <v>121</v>
      </c>
      <c r="B62" s="20" t="s">
        <v>105</v>
      </c>
      <c r="C62" s="22">
        <v>800000</v>
      </c>
      <c r="D62" s="22">
        <v>30</v>
      </c>
      <c r="E62" s="22">
        <f t="shared" ref="E62" si="24">+C62/30*D62</f>
        <v>800000</v>
      </c>
      <c r="F62" s="22">
        <v>77700</v>
      </c>
      <c r="G62" s="22"/>
      <c r="H62" s="22"/>
      <c r="I62" s="22">
        <f t="shared" si="12"/>
        <v>877700</v>
      </c>
      <c r="J62" s="22">
        <f t="shared" ref="J62:J87" si="25">+E62*4%</f>
        <v>32000</v>
      </c>
      <c r="K62" s="22">
        <f t="shared" ref="K62:K87" si="26">+E62*4%</f>
        <v>32000</v>
      </c>
      <c r="L62" s="22"/>
      <c r="M62" s="22"/>
      <c r="N62" s="25"/>
      <c r="O62" s="22"/>
      <c r="P62" s="22"/>
      <c r="Q62" s="22"/>
      <c r="R62" s="22">
        <f t="shared" si="16"/>
        <v>64000</v>
      </c>
      <c r="S62" s="23">
        <f>+I62-R62</f>
        <v>813700</v>
      </c>
      <c r="T62" s="23"/>
      <c r="U62" s="64"/>
      <c r="V62" s="23">
        <f t="shared" si="4"/>
        <v>813700</v>
      </c>
      <c r="W62" s="63"/>
    </row>
    <row r="63" spans="1:26" x14ac:dyDescent="0.2">
      <c r="A63" s="30" t="s">
        <v>122</v>
      </c>
      <c r="B63" s="26" t="s">
        <v>32</v>
      </c>
      <c r="C63" s="22">
        <v>1500000</v>
      </c>
      <c r="D63" s="22">
        <v>30</v>
      </c>
      <c r="E63" s="22">
        <f>+C63/30*D63</f>
        <v>1500000</v>
      </c>
      <c r="F63" s="22"/>
      <c r="G63" s="22">
        <v>500000</v>
      </c>
      <c r="H63" s="22"/>
      <c r="I63" s="22">
        <f t="shared" si="12"/>
        <v>2000000</v>
      </c>
      <c r="J63" s="22">
        <f t="shared" si="25"/>
        <v>60000</v>
      </c>
      <c r="K63" s="22">
        <f t="shared" si="26"/>
        <v>60000</v>
      </c>
      <c r="L63" s="22"/>
      <c r="M63" s="22"/>
      <c r="N63" s="22">
        <v>0</v>
      </c>
      <c r="O63" s="22"/>
      <c r="P63" s="22"/>
      <c r="Q63" s="22"/>
      <c r="R63" s="22">
        <f t="shared" si="16"/>
        <v>120000</v>
      </c>
      <c r="S63" s="23">
        <f>I63-R63</f>
        <v>1880000</v>
      </c>
      <c r="T63" s="23"/>
      <c r="U63" s="64"/>
      <c r="V63" s="23">
        <f>S63+T63-U63</f>
        <v>1880000</v>
      </c>
      <c r="W63" s="63" t="s">
        <v>123</v>
      </c>
    </row>
    <row r="64" spans="1:26" ht="20.25" customHeight="1" x14ac:dyDescent="0.25">
      <c r="A64" s="19" t="s">
        <v>126</v>
      </c>
      <c r="B64" s="20" t="s">
        <v>32</v>
      </c>
      <c r="C64" s="22">
        <v>3000000</v>
      </c>
      <c r="D64" s="22">
        <v>28</v>
      </c>
      <c r="E64" s="22">
        <f t="shared" ref="E64" si="27">+C64/30*D64</f>
        <v>2800000</v>
      </c>
      <c r="F64" s="22"/>
      <c r="G64" s="22"/>
      <c r="H64" s="22">
        <v>200000</v>
      </c>
      <c r="I64" s="22">
        <f t="shared" si="12"/>
        <v>3000000</v>
      </c>
      <c r="J64" s="22">
        <v>120000</v>
      </c>
      <c r="K64" s="22">
        <v>150000</v>
      </c>
      <c r="L64" s="22"/>
      <c r="M64" s="22"/>
      <c r="N64" s="22">
        <v>0</v>
      </c>
      <c r="O64" s="22"/>
      <c r="P64" s="22"/>
      <c r="Q64" s="22">
        <v>802634</v>
      </c>
      <c r="R64" s="22">
        <f t="shared" si="16"/>
        <v>1072634</v>
      </c>
      <c r="S64" s="23">
        <f t="shared" ref="S64:S71" si="28">+I64-R64</f>
        <v>1927366</v>
      </c>
      <c r="T64" s="23"/>
      <c r="U64" s="64"/>
      <c r="V64" s="23">
        <f t="shared" ref="V64" si="29">S64+T64-U64</f>
        <v>1927366</v>
      </c>
      <c r="W64" s="62" t="s">
        <v>127</v>
      </c>
    </row>
    <row r="65" spans="1:24" ht="18" customHeight="1" x14ac:dyDescent="0.25">
      <c r="A65" s="19" t="s">
        <v>124</v>
      </c>
      <c r="B65" s="20" t="s">
        <v>32</v>
      </c>
      <c r="C65" s="22">
        <v>1500000</v>
      </c>
      <c r="D65" s="22">
        <v>28</v>
      </c>
      <c r="E65" s="22">
        <f>+C65/30*D65</f>
        <v>1400000</v>
      </c>
      <c r="F65" s="22"/>
      <c r="G65" s="22">
        <v>100000</v>
      </c>
      <c r="H65" s="22">
        <v>100000</v>
      </c>
      <c r="I65" s="22">
        <f t="shared" si="12"/>
        <v>1600000</v>
      </c>
      <c r="J65" s="22">
        <v>60000</v>
      </c>
      <c r="K65" s="22">
        <v>60000</v>
      </c>
      <c r="L65" s="22"/>
      <c r="M65" s="22"/>
      <c r="N65" s="22">
        <v>0</v>
      </c>
      <c r="O65" s="22"/>
      <c r="P65" s="22"/>
      <c r="Q65" s="22"/>
      <c r="R65" s="22">
        <f t="shared" si="16"/>
        <v>120000</v>
      </c>
      <c r="S65" s="23">
        <f t="shared" si="28"/>
        <v>1480000</v>
      </c>
      <c r="T65" s="23"/>
      <c r="U65" s="64"/>
      <c r="V65" s="23">
        <f t="shared" si="4"/>
        <v>1480000</v>
      </c>
      <c r="W65" s="96" t="s">
        <v>125</v>
      </c>
    </row>
    <row r="66" spans="1:24" x14ac:dyDescent="0.2">
      <c r="A66" s="19" t="s">
        <v>128</v>
      </c>
      <c r="B66" s="20" t="s">
        <v>32</v>
      </c>
      <c r="C66" s="22">
        <v>3250000</v>
      </c>
      <c r="D66" s="22">
        <v>30</v>
      </c>
      <c r="E66" s="22">
        <f t="shared" ref="E66:E74" si="30">+C66/30*D66</f>
        <v>3250000</v>
      </c>
      <c r="F66" s="22"/>
      <c r="G66" s="22"/>
      <c r="H66" s="22">
        <v>541667</v>
      </c>
      <c r="I66" s="22">
        <f t="shared" si="12"/>
        <v>3791667</v>
      </c>
      <c r="J66" s="22">
        <f t="shared" si="25"/>
        <v>130000</v>
      </c>
      <c r="K66" s="22">
        <f>+E66*5%</f>
        <v>162500</v>
      </c>
      <c r="L66" s="22"/>
      <c r="M66" s="22"/>
      <c r="N66" s="22">
        <v>0</v>
      </c>
      <c r="O66" s="22"/>
      <c r="P66" s="22"/>
      <c r="Q66" s="22"/>
      <c r="R66" s="22">
        <f t="shared" si="16"/>
        <v>292500</v>
      </c>
      <c r="S66" s="23">
        <f t="shared" si="28"/>
        <v>3499167</v>
      </c>
      <c r="T66" s="23"/>
      <c r="U66" s="64"/>
      <c r="V66" s="23">
        <f t="shared" si="4"/>
        <v>3499167</v>
      </c>
      <c r="W66" s="63" t="s">
        <v>129</v>
      </c>
      <c r="X66" s="65" t="s">
        <v>130</v>
      </c>
    </row>
    <row r="67" spans="1:24" x14ac:dyDescent="0.2">
      <c r="A67" s="19" t="s">
        <v>131</v>
      </c>
      <c r="B67" s="20" t="s">
        <v>32</v>
      </c>
      <c r="C67" s="22">
        <v>2500000</v>
      </c>
      <c r="D67" s="22">
        <v>28</v>
      </c>
      <c r="E67" s="22">
        <f t="shared" si="30"/>
        <v>2333333.333333333</v>
      </c>
      <c r="F67" s="22"/>
      <c r="G67" s="22"/>
      <c r="H67" s="22">
        <v>166667</v>
      </c>
      <c r="I67" s="22">
        <f t="shared" si="12"/>
        <v>2500000.333333333</v>
      </c>
      <c r="J67" s="22">
        <v>100000</v>
      </c>
      <c r="K67" s="22">
        <v>100000</v>
      </c>
      <c r="L67" s="22"/>
      <c r="M67" s="22"/>
      <c r="N67" s="25">
        <v>0</v>
      </c>
      <c r="O67" s="22"/>
      <c r="P67" s="22"/>
      <c r="Q67" s="22">
        <v>586000</v>
      </c>
      <c r="R67" s="22">
        <f t="shared" si="16"/>
        <v>786000</v>
      </c>
      <c r="S67" s="23">
        <f t="shared" si="28"/>
        <v>1714000.333333333</v>
      </c>
      <c r="T67" s="23"/>
      <c r="U67" s="64"/>
      <c r="V67" s="23">
        <f t="shared" si="4"/>
        <v>1714000.333333333</v>
      </c>
      <c r="W67" s="63" t="s">
        <v>132</v>
      </c>
    </row>
    <row r="68" spans="1:24" x14ac:dyDescent="0.25">
      <c r="A68" s="19" t="s">
        <v>133</v>
      </c>
      <c r="B68" s="20" t="s">
        <v>32</v>
      </c>
      <c r="C68" s="22">
        <v>1800000</v>
      </c>
      <c r="D68" s="22">
        <v>28</v>
      </c>
      <c r="E68" s="22">
        <f t="shared" si="30"/>
        <v>1680000</v>
      </c>
      <c r="F68" s="22"/>
      <c r="G68" s="22"/>
      <c r="H68" s="22">
        <v>120000</v>
      </c>
      <c r="I68" s="22">
        <f t="shared" si="12"/>
        <v>1800000</v>
      </c>
      <c r="J68" s="22">
        <v>72000</v>
      </c>
      <c r="K68" s="22">
        <v>72000</v>
      </c>
      <c r="L68" s="22"/>
      <c r="M68" s="22"/>
      <c r="N68" s="25">
        <v>0</v>
      </c>
      <c r="O68" s="22"/>
      <c r="P68" s="22">
        <v>107336</v>
      </c>
      <c r="Q68" s="22">
        <v>505000</v>
      </c>
      <c r="R68" s="22">
        <f t="shared" si="16"/>
        <v>756336</v>
      </c>
      <c r="S68" s="23">
        <f t="shared" si="28"/>
        <v>1043664</v>
      </c>
      <c r="T68" s="23"/>
      <c r="U68" s="64"/>
      <c r="V68" s="23">
        <f t="shared" ref="V68:V90" si="31">S68+T68-U68</f>
        <v>1043664</v>
      </c>
      <c r="W68" s="61" t="s">
        <v>134</v>
      </c>
    </row>
    <row r="69" spans="1:24" x14ac:dyDescent="0.25">
      <c r="A69" s="19" t="s">
        <v>173</v>
      </c>
      <c r="B69" s="20" t="s">
        <v>32</v>
      </c>
      <c r="C69" s="22">
        <v>689454</v>
      </c>
      <c r="D69" s="22">
        <v>30</v>
      </c>
      <c r="E69" s="22">
        <f t="shared" si="30"/>
        <v>689454</v>
      </c>
      <c r="F69" s="22">
        <v>77700</v>
      </c>
      <c r="G69" s="22">
        <v>100000</v>
      </c>
      <c r="H69" s="22"/>
      <c r="I69" s="22">
        <f t="shared" si="12"/>
        <v>867154</v>
      </c>
      <c r="J69" s="22">
        <f t="shared" si="25"/>
        <v>27578.16</v>
      </c>
      <c r="K69" s="22">
        <f t="shared" si="26"/>
        <v>27578.16</v>
      </c>
      <c r="L69" s="22"/>
      <c r="M69" s="22"/>
      <c r="N69" s="25"/>
      <c r="O69" s="22"/>
      <c r="P69" s="22"/>
      <c r="Q69" s="22"/>
      <c r="R69" s="22">
        <f t="shared" si="16"/>
        <v>55156.32</v>
      </c>
      <c r="S69" s="23">
        <f t="shared" si="28"/>
        <v>811997.68</v>
      </c>
      <c r="T69" s="23"/>
      <c r="U69" s="64"/>
      <c r="V69" s="23">
        <f t="shared" si="31"/>
        <v>811997.68</v>
      </c>
      <c r="W69" s="60" t="s">
        <v>174</v>
      </c>
    </row>
    <row r="70" spans="1:24" x14ac:dyDescent="0.2">
      <c r="A70" s="19" t="s">
        <v>135</v>
      </c>
      <c r="B70" s="20" t="s">
        <v>32</v>
      </c>
      <c r="C70" s="22">
        <v>1800000</v>
      </c>
      <c r="D70" s="22">
        <v>28</v>
      </c>
      <c r="E70" s="22">
        <f>+C70/30*D70</f>
        <v>1680000</v>
      </c>
      <c r="F70" s="22"/>
      <c r="G70" s="22"/>
      <c r="H70" s="22">
        <v>120000</v>
      </c>
      <c r="I70" s="22">
        <f t="shared" si="12"/>
        <v>1800000</v>
      </c>
      <c r="J70" s="22">
        <v>72000</v>
      </c>
      <c r="K70" s="22">
        <v>72000</v>
      </c>
      <c r="L70" s="22"/>
      <c r="M70" s="22"/>
      <c r="N70" s="22">
        <v>0</v>
      </c>
      <c r="O70" s="22"/>
      <c r="P70" s="22"/>
      <c r="Q70" s="22">
        <v>257196</v>
      </c>
      <c r="R70" s="22">
        <f t="shared" si="16"/>
        <v>401196</v>
      </c>
      <c r="S70" s="23">
        <f t="shared" si="28"/>
        <v>1398804</v>
      </c>
      <c r="T70" s="23"/>
      <c r="U70" s="64"/>
      <c r="V70" s="23">
        <f t="shared" si="31"/>
        <v>1398804</v>
      </c>
      <c r="W70" s="63" t="s">
        <v>136</v>
      </c>
    </row>
    <row r="71" spans="1:24" x14ac:dyDescent="0.2">
      <c r="A71" s="19" t="s">
        <v>137</v>
      </c>
      <c r="B71" s="20"/>
      <c r="C71" s="22">
        <v>1000000</v>
      </c>
      <c r="D71" s="22">
        <v>30</v>
      </c>
      <c r="E71" s="22">
        <f t="shared" ref="E71" si="32">+C71/30*D71</f>
        <v>1000000.0000000001</v>
      </c>
      <c r="F71" s="22">
        <v>77700</v>
      </c>
      <c r="G71" s="22"/>
      <c r="H71" s="22"/>
      <c r="I71" s="22">
        <f t="shared" si="12"/>
        <v>1077700</v>
      </c>
      <c r="J71" s="22">
        <f t="shared" si="25"/>
        <v>40000.000000000007</v>
      </c>
      <c r="K71" s="22">
        <f t="shared" si="26"/>
        <v>40000.000000000007</v>
      </c>
      <c r="L71" s="22"/>
      <c r="M71" s="22"/>
      <c r="N71" s="22">
        <v>0</v>
      </c>
      <c r="O71" s="22"/>
      <c r="P71" s="22"/>
      <c r="Q71" s="22"/>
      <c r="R71" s="22">
        <f t="shared" si="16"/>
        <v>80000.000000000015</v>
      </c>
      <c r="S71" s="23">
        <f t="shared" si="28"/>
        <v>997700</v>
      </c>
      <c r="T71" s="23"/>
      <c r="U71" s="64"/>
      <c r="V71" s="23">
        <f t="shared" si="31"/>
        <v>997700</v>
      </c>
      <c r="W71" s="63"/>
    </row>
    <row r="72" spans="1:24" ht="24" x14ac:dyDescent="0.2">
      <c r="A72" s="19" t="s">
        <v>138</v>
      </c>
      <c r="B72" s="20" t="s">
        <v>32</v>
      </c>
      <c r="C72" s="22">
        <v>4500000</v>
      </c>
      <c r="D72" s="22">
        <v>30</v>
      </c>
      <c r="E72" s="22">
        <f t="shared" si="30"/>
        <v>4500000</v>
      </c>
      <c r="F72" s="22"/>
      <c r="G72" s="22"/>
      <c r="H72" s="22"/>
      <c r="I72" s="22">
        <f t="shared" si="12"/>
        <v>4500000</v>
      </c>
      <c r="J72" s="22">
        <f t="shared" si="25"/>
        <v>180000</v>
      </c>
      <c r="K72" s="22">
        <f>+E72*5%</f>
        <v>225000</v>
      </c>
      <c r="L72" s="22"/>
      <c r="M72" s="22"/>
      <c r="N72" s="22">
        <v>73073</v>
      </c>
      <c r="O72" s="22"/>
      <c r="P72" s="22"/>
      <c r="Q72" s="22"/>
      <c r="R72" s="22">
        <f t="shared" si="16"/>
        <v>478073</v>
      </c>
      <c r="S72" s="23">
        <f>I72-R72</f>
        <v>4021927</v>
      </c>
      <c r="T72" s="23"/>
      <c r="U72" s="64"/>
      <c r="V72" s="23">
        <f t="shared" si="31"/>
        <v>4021927</v>
      </c>
      <c r="W72" s="63" t="s">
        <v>139</v>
      </c>
    </row>
    <row r="73" spans="1:24" x14ac:dyDescent="0.25">
      <c r="A73" s="19" t="s">
        <v>142</v>
      </c>
      <c r="B73" s="20" t="s">
        <v>32</v>
      </c>
      <c r="C73" s="22">
        <v>2500000</v>
      </c>
      <c r="D73" s="22">
        <v>28</v>
      </c>
      <c r="E73" s="22">
        <f t="shared" si="30"/>
        <v>2333333.333333333</v>
      </c>
      <c r="F73" s="22"/>
      <c r="G73" s="22">
        <v>500000</v>
      </c>
      <c r="H73" s="22">
        <v>166667</v>
      </c>
      <c r="I73" s="22">
        <f t="shared" si="12"/>
        <v>3000000.333333333</v>
      </c>
      <c r="J73" s="22">
        <v>100000</v>
      </c>
      <c r="K73" s="22">
        <v>100000</v>
      </c>
      <c r="L73" s="22"/>
      <c r="M73" s="22"/>
      <c r="N73" s="22">
        <v>0</v>
      </c>
      <c r="O73" s="22"/>
      <c r="P73" s="22"/>
      <c r="Q73" s="22">
        <v>362175</v>
      </c>
      <c r="R73" s="22">
        <f t="shared" si="16"/>
        <v>562175</v>
      </c>
      <c r="S73" s="23">
        <f>I73-R73</f>
        <v>2437825.333333333</v>
      </c>
      <c r="T73" s="23"/>
      <c r="U73" s="64"/>
      <c r="V73" s="23">
        <f t="shared" si="31"/>
        <v>2437825.333333333</v>
      </c>
      <c r="W73" s="62" t="s">
        <v>143</v>
      </c>
    </row>
    <row r="74" spans="1:24" ht="24" x14ac:dyDescent="0.2">
      <c r="A74" s="19" t="s">
        <v>140</v>
      </c>
      <c r="B74" s="20" t="s">
        <v>32</v>
      </c>
      <c r="C74" s="22">
        <v>2548000</v>
      </c>
      <c r="D74" s="22">
        <v>30</v>
      </c>
      <c r="E74" s="22">
        <f t="shared" si="30"/>
        <v>2548000</v>
      </c>
      <c r="F74" s="22"/>
      <c r="G74" s="22"/>
      <c r="H74" s="22"/>
      <c r="I74" s="22">
        <f t="shared" si="12"/>
        <v>2548000</v>
      </c>
      <c r="J74" s="22">
        <f t="shared" si="25"/>
        <v>101920</v>
      </c>
      <c r="K74" s="22">
        <f t="shared" si="26"/>
        <v>101920</v>
      </c>
      <c r="L74" s="22"/>
      <c r="M74" s="22"/>
      <c r="N74" s="22">
        <v>0</v>
      </c>
      <c r="O74" s="22"/>
      <c r="P74" s="22"/>
      <c r="Q74" s="22"/>
      <c r="R74" s="22">
        <f t="shared" si="16"/>
        <v>203840</v>
      </c>
      <c r="S74" s="23">
        <f>I74-R74</f>
        <v>2344160</v>
      </c>
      <c r="T74" s="23"/>
      <c r="U74" s="64"/>
      <c r="V74" s="23">
        <f t="shared" si="31"/>
        <v>2344160</v>
      </c>
      <c r="W74" s="63" t="s">
        <v>141</v>
      </c>
    </row>
    <row r="75" spans="1:24" x14ac:dyDescent="0.25">
      <c r="A75" s="30" t="s">
        <v>144</v>
      </c>
      <c r="B75" s="26" t="s">
        <v>32</v>
      </c>
      <c r="C75" s="22">
        <v>689455</v>
      </c>
      <c r="D75" s="22">
        <v>30</v>
      </c>
      <c r="E75" s="22">
        <f>+C75/30*D75</f>
        <v>689455</v>
      </c>
      <c r="F75" s="22">
        <v>77700</v>
      </c>
      <c r="G75" s="22">
        <v>100000</v>
      </c>
      <c r="H75" s="22"/>
      <c r="I75" s="22">
        <f t="shared" si="12"/>
        <v>867155</v>
      </c>
      <c r="J75" s="22">
        <f t="shared" si="25"/>
        <v>27578.2</v>
      </c>
      <c r="K75" s="22">
        <f t="shared" si="26"/>
        <v>27578.2</v>
      </c>
      <c r="L75" s="22"/>
      <c r="M75" s="22"/>
      <c r="N75" s="22">
        <v>0</v>
      </c>
      <c r="O75" s="22"/>
      <c r="P75" s="22"/>
      <c r="Q75" s="22"/>
      <c r="R75" s="22">
        <f t="shared" si="16"/>
        <v>55156.4</v>
      </c>
      <c r="S75" s="23">
        <f>I75-R75</f>
        <v>811998.6</v>
      </c>
      <c r="T75" s="23"/>
      <c r="U75" s="64"/>
      <c r="V75" s="23">
        <f t="shared" si="31"/>
        <v>811998.6</v>
      </c>
      <c r="W75" s="62" t="s">
        <v>145</v>
      </c>
    </row>
    <row r="76" spans="1:24" x14ac:dyDescent="0.2">
      <c r="A76" s="19" t="s">
        <v>146</v>
      </c>
      <c r="B76" s="20" t="s">
        <v>32</v>
      </c>
      <c r="C76" s="22">
        <v>15400000</v>
      </c>
      <c r="D76" s="22">
        <v>30</v>
      </c>
      <c r="E76" s="22">
        <f t="shared" ref="E76:E83" si="33">+C76/30*D76</f>
        <v>15400000</v>
      </c>
      <c r="F76" s="22"/>
      <c r="G76" s="22">
        <v>600000</v>
      </c>
      <c r="H76" s="22"/>
      <c r="I76" s="22">
        <f t="shared" si="12"/>
        <v>16000000</v>
      </c>
      <c r="J76" s="22">
        <f t="shared" si="25"/>
        <v>616000</v>
      </c>
      <c r="K76" s="22">
        <f>+E76*6%</f>
        <v>924000</v>
      </c>
      <c r="L76" s="22">
        <v>102400</v>
      </c>
      <c r="M76" s="22"/>
      <c r="N76" s="22">
        <v>1014000</v>
      </c>
      <c r="O76" s="22">
        <v>5000000</v>
      </c>
      <c r="P76" s="22">
        <v>180180</v>
      </c>
      <c r="Q76" s="22"/>
      <c r="R76" s="22">
        <f t="shared" si="16"/>
        <v>7836580</v>
      </c>
      <c r="S76" s="23">
        <f>+I76-R76</f>
        <v>8163420</v>
      </c>
      <c r="T76" s="23"/>
      <c r="U76" s="64"/>
      <c r="V76" s="23">
        <f t="shared" si="31"/>
        <v>8163420</v>
      </c>
      <c r="W76" s="63" t="s">
        <v>147</v>
      </c>
    </row>
    <row r="77" spans="1:24" x14ac:dyDescent="0.25">
      <c r="A77" s="19" t="s">
        <v>148</v>
      </c>
      <c r="B77" s="20" t="s">
        <v>32</v>
      </c>
      <c r="C77" s="22">
        <v>4500000</v>
      </c>
      <c r="D77" s="22">
        <v>30</v>
      </c>
      <c r="E77" s="22">
        <f t="shared" si="33"/>
        <v>4500000</v>
      </c>
      <c r="F77" s="22"/>
      <c r="G77" s="22"/>
      <c r="H77" s="22"/>
      <c r="I77" s="22">
        <f t="shared" si="12"/>
        <v>4500000</v>
      </c>
      <c r="J77" s="22">
        <f t="shared" si="25"/>
        <v>180000</v>
      </c>
      <c r="K77" s="22">
        <f>+E77*5%</f>
        <v>225000</v>
      </c>
      <c r="L77" s="22"/>
      <c r="M77" s="22"/>
      <c r="N77" s="22">
        <v>90000</v>
      </c>
      <c r="O77" s="22"/>
      <c r="P77" s="22"/>
      <c r="Q77" s="22">
        <f>887544</f>
        <v>887544</v>
      </c>
      <c r="R77" s="22">
        <f t="shared" si="16"/>
        <v>1382544</v>
      </c>
      <c r="S77" s="23">
        <f>+I77-R77</f>
        <v>3117456</v>
      </c>
      <c r="T77" s="23"/>
      <c r="U77" s="64"/>
      <c r="V77" s="23">
        <f t="shared" si="31"/>
        <v>3117456</v>
      </c>
      <c r="W77" s="62" t="s">
        <v>149</v>
      </c>
    </row>
    <row r="78" spans="1:24" x14ac:dyDescent="0.2">
      <c r="A78" s="19" t="s">
        <v>150</v>
      </c>
      <c r="B78" s="20" t="s">
        <v>32</v>
      </c>
      <c r="C78" s="22">
        <v>1000000</v>
      </c>
      <c r="D78" s="22">
        <v>30</v>
      </c>
      <c r="E78" s="22">
        <f t="shared" si="33"/>
        <v>1000000.0000000001</v>
      </c>
      <c r="F78" s="22">
        <v>77700</v>
      </c>
      <c r="G78" s="22"/>
      <c r="H78" s="22"/>
      <c r="I78" s="22">
        <f t="shared" si="12"/>
        <v>1077700</v>
      </c>
      <c r="J78" s="22">
        <f t="shared" si="25"/>
        <v>40000.000000000007</v>
      </c>
      <c r="K78" s="22">
        <f t="shared" si="26"/>
        <v>40000.000000000007</v>
      </c>
      <c r="L78" s="22"/>
      <c r="M78" s="22"/>
      <c r="N78" s="22">
        <v>0</v>
      </c>
      <c r="O78" s="22"/>
      <c r="P78" s="22"/>
      <c r="Q78" s="22"/>
      <c r="R78" s="22">
        <f t="shared" si="16"/>
        <v>80000.000000000015</v>
      </c>
      <c r="S78" s="23">
        <f>+I78-R78</f>
        <v>997700</v>
      </c>
      <c r="T78" s="23"/>
      <c r="U78" s="64"/>
      <c r="V78" s="23">
        <f t="shared" si="31"/>
        <v>997700</v>
      </c>
      <c r="W78" s="97" t="s">
        <v>151</v>
      </c>
    </row>
    <row r="79" spans="1:24" x14ac:dyDescent="0.2">
      <c r="A79" s="30" t="s">
        <v>152</v>
      </c>
      <c r="B79" s="26" t="s">
        <v>32</v>
      </c>
      <c r="C79" s="22">
        <v>1500000</v>
      </c>
      <c r="D79" s="22">
        <v>23</v>
      </c>
      <c r="E79" s="22">
        <f t="shared" si="33"/>
        <v>1150000</v>
      </c>
      <c r="F79" s="22"/>
      <c r="G79" s="22"/>
      <c r="H79" s="22">
        <v>350000</v>
      </c>
      <c r="I79" s="22">
        <f t="shared" si="12"/>
        <v>1500000</v>
      </c>
      <c r="J79" s="22">
        <v>60000</v>
      </c>
      <c r="K79" s="22">
        <v>60000</v>
      </c>
      <c r="L79" s="22"/>
      <c r="M79" s="22"/>
      <c r="N79" s="22">
        <v>0</v>
      </c>
      <c r="O79" s="22"/>
      <c r="P79" s="22"/>
      <c r="Q79" s="22"/>
      <c r="R79" s="22">
        <f t="shared" si="16"/>
        <v>120000</v>
      </c>
      <c r="S79" s="23">
        <f>I79-R79</f>
        <v>1380000</v>
      </c>
      <c r="T79" s="23"/>
      <c r="U79" s="64"/>
      <c r="V79" s="23">
        <f t="shared" si="31"/>
        <v>1380000</v>
      </c>
      <c r="W79" s="63" t="s">
        <v>153</v>
      </c>
    </row>
    <row r="80" spans="1:24" x14ac:dyDescent="0.2">
      <c r="A80" s="30" t="s">
        <v>184</v>
      </c>
      <c r="B80" s="26" t="s">
        <v>32</v>
      </c>
      <c r="C80" s="22">
        <v>689455</v>
      </c>
      <c r="D80" s="22">
        <v>24</v>
      </c>
      <c r="E80" s="22">
        <f t="shared" si="33"/>
        <v>551564</v>
      </c>
      <c r="F80" s="22"/>
      <c r="G80" s="22"/>
      <c r="H80" s="22"/>
      <c r="I80" s="22">
        <f t="shared" si="12"/>
        <v>551564</v>
      </c>
      <c r="J80" s="22">
        <v>0</v>
      </c>
      <c r="K80" s="22"/>
      <c r="L80" s="22"/>
      <c r="M80" s="22"/>
      <c r="N80" s="22"/>
      <c r="O80" s="22"/>
      <c r="P80" s="22"/>
      <c r="Q80" s="22"/>
      <c r="R80" s="22">
        <f t="shared" si="16"/>
        <v>0</v>
      </c>
      <c r="S80" s="23">
        <f>I80-R80</f>
        <v>551564</v>
      </c>
      <c r="T80" s="23"/>
      <c r="U80" s="64"/>
      <c r="V80" s="23">
        <f t="shared" si="31"/>
        <v>551564</v>
      </c>
      <c r="W80" s="63"/>
    </row>
    <row r="81" spans="1:27" ht="24" x14ac:dyDescent="0.2">
      <c r="A81" s="19" t="s">
        <v>155</v>
      </c>
      <c r="B81" s="20" t="s">
        <v>32</v>
      </c>
      <c r="C81" s="22">
        <v>1300000</v>
      </c>
      <c r="D81" s="22">
        <v>30</v>
      </c>
      <c r="E81" s="22">
        <f t="shared" si="33"/>
        <v>1300000</v>
      </c>
      <c r="F81" s="22">
        <v>77700</v>
      </c>
      <c r="G81" s="22"/>
      <c r="H81" s="22"/>
      <c r="I81" s="22">
        <f t="shared" si="12"/>
        <v>1377700</v>
      </c>
      <c r="J81" s="22">
        <f t="shared" si="25"/>
        <v>52000</v>
      </c>
      <c r="K81" s="22">
        <f t="shared" si="26"/>
        <v>52000</v>
      </c>
      <c r="L81" s="22"/>
      <c r="M81" s="22"/>
      <c r="N81" s="22">
        <v>0</v>
      </c>
      <c r="O81" s="22"/>
      <c r="P81" s="22"/>
      <c r="Q81" s="22"/>
      <c r="R81" s="22">
        <f t="shared" si="16"/>
        <v>104000</v>
      </c>
      <c r="S81" s="23">
        <f>+I81-R81</f>
        <v>1273700</v>
      </c>
      <c r="T81" s="23"/>
      <c r="U81" s="64"/>
      <c r="V81" s="23">
        <f t="shared" si="31"/>
        <v>1273700</v>
      </c>
      <c r="W81" s="63" t="s">
        <v>156</v>
      </c>
    </row>
    <row r="82" spans="1:27" ht="24" x14ac:dyDescent="0.25">
      <c r="A82" s="19" t="s">
        <v>175</v>
      </c>
      <c r="B82" s="20" t="s">
        <v>32</v>
      </c>
      <c r="C82" s="22">
        <v>2000000</v>
      </c>
      <c r="D82" s="22">
        <v>30</v>
      </c>
      <c r="E82" s="22">
        <f t="shared" si="33"/>
        <v>2000000.0000000002</v>
      </c>
      <c r="F82" s="22"/>
      <c r="G82" s="22"/>
      <c r="H82" s="22"/>
      <c r="I82" s="22">
        <f t="shared" si="12"/>
        <v>2000000.0000000002</v>
      </c>
      <c r="J82" s="22">
        <f t="shared" si="25"/>
        <v>80000.000000000015</v>
      </c>
      <c r="K82" s="22">
        <f t="shared" si="26"/>
        <v>80000.000000000015</v>
      </c>
      <c r="L82" s="22"/>
      <c r="M82" s="22"/>
      <c r="N82" s="22"/>
      <c r="O82" s="22"/>
      <c r="P82" s="22"/>
      <c r="Q82" s="22"/>
      <c r="R82" s="22">
        <f t="shared" si="16"/>
        <v>160000.00000000003</v>
      </c>
      <c r="S82" s="23">
        <f>+I82-R82</f>
        <v>1840000.0000000002</v>
      </c>
      <c r="T82" s="23"/>
      <c r="U82" s="64"/>
      <c r="V82" s="23">
        <f t="shared" si="31"/>
        <v>1840000.0000000002</v>
      </c>
      <c r="W82" s="19"/>
    </row>
    <row r="83" spans="1:27" x14ac:dyDescent="0.2">
      <c r="A83" s="19" t="s">
        <v>154</v>
      </c>
      <c r="B83" s="20" t="s">
        <v>105</v>
      </c>
      <c r="C83" s="22">
        <v>1400000</v>
      </c>
      <c r="D83" s="22">
        <v>28</v>
      </c>
      <c r="E83" s="22">
        <f t="shared" si="33"/>
        <v>1306666.6666666665</v>
      </c>
      <c r="F83" s="22"/>
      <c r="G83" s="22"/>
      <c r="H83" s="22">
        <v>93333</v>
      </c>
      <c r="I83" s="22">
        <f t="shared" si="12"/>
        <v>1399999.6666666665</v>
      </c>
      <c r="J83" s="22">
        <v>56000</v>
      </c>
      <c r="K83" s="22">
        <v>56000</v>
      </c>
      <c r="L83" s="22"/>
      <c r="M83" s="22"/>
      <c r="N83" s="25"/>
      <c r="O83" s="22"/>
      <c r="P83" s="22"/>
      <c r="Q83" s="22"/>
      <c r="R83" s="22">
        <f t="shared" si="16"/>
        <v>112000</v>
      </c>
      <c r="S83" s="23">
        <f>+I83-R83</f>
        <v>1287999.6666666665</v>
      </c>
      <c r="T83" s="23"/>
      <c r="U83" s="64"/>
      <c r="V83" s="23">
        <f t="shared" si="31"/>
        <v>1287999.6666666665</v>
      </c>
      <c r="W83" s="63"/>
    </row>
    <row r="84" spans="1:27" x14ac:dyDescent="0.2">
      <c r="A84" s="30" t="s">
        <v>159</v>
      </c>
      <c r="B84" s="26" t="s">
        <v>32</v>
      </c>
      <c r="C84" s="22">
        <v>1300000</v>
      </c>
      <c r="D84" s="22">
        <v>30</v>
      </c>
      <c r="E84" s="22">
        <f>+C84/30*D84</f>
        <v>1300000</v>
      </c>
      <c r="F84" s="22">
        <v>77700</v>
      </c>
      <c r="G84" s="22"/>
      <c r="H84" s="22"/>
      <c r="I84" s="22">
        <f t="shared" si="12"/>
        <v>1377700</v>
      </c>
      <c r="J84" s="22">
        <f t="shared" si="25"/>
        <v>52000</v>
      </c>
      <c r="K84" s="22">
        <f t="shared" si="26"/>
        <v>52000</v>
      </c>
      <c r="L84" s="22"/>
      <c r="M84" s="22"/>
      <c r="N84" s="22">
        <v>0</v>
      </c>
      <c r="O84" s="22"/>
      <c r="P84" s="22"/>
      <c r="Q84" s="22">
        <v>249127</v>
      </c>
      <c r="R84" s="22">
        <f t="shared" si="16"/>
        <v>353127</v>
      </c>
      <c r="S84" s="23">
        <f>I84-R84</f>
        <v>1024573</v>
      </c>
      <c r="T84" s="23"/>
      <c r="U84" s="64"/>
      <c r="V84" s="23">
        <f t="shared" si="31"/>
        <v>1024573</v>
      </c>
      <c r="W84" s="63" t="s">
        <v>160</v>
      </c>
    </row>
    <row r="85" spans="1:27" x14ac:dyDescent="0.2">
      <c r="A85" s="19" t="s">
        <v>161</v>
      </c>
      <c r="B85" s="20" t="s">
        <v>32</v>
      </c>
      <c r="C85" s="22">
        <v>689455</v>
      </c>
      <c r="D85" s="22">
        <v>30</v>
      </c>
      <c r="E85" s="22">
        <f>+C85/30*D85</f>
        <v>689455</v>
      </c>
      <c r="F85" s="22">
        <v>77700</v>
      </c>
      <c r="G85" s="22"/>
      <c r="H85" s="22"/>
      <c r="I85" s="22">
        <f t="shared" si="12"/>
        <v>767155</v>
      </c>
      <c r="J85" s="22">
        <f t="shared" si="25"/>
        <v>27578.2</v>
      </c>
      <c r="K85" s="22">
        <f t="shared" si="26"/>
        <v>27578.2</v>
      </c>
      <c r="L85" s="22"/>
      <c r="M85" s="22"/>
      <c r="N85" s="22">
        <v>0</v>
      </c>
      <c r="O85" s="22"/>
      <c r="P85" s="22"/>
      <c r="Q85" s="22"/>
      <c r="R85" s="22">
        <f t="shared" si="16"/>
        <v>55156.4</v>
      </c>
      <c r="S85" s="23">
        <f>+I85-R85</f>
        <v>711998.6</v>
      </c>
      <c r="T85" s="23"/>
      <c r="U85" s="64"/>
      <c r="V85" s="23">
        <f t="shared" si="31"/>
        <v>711998.6</v>
      </c>
      <c r="W85" s="63" t="s">
        <v>162</v>
      </c>
    </row>
    <row r="86" spans="1:27" ht="24" x14ac:dyDescent="0.2">
      <c r="A86" s="19" t="s">
        <v>163</v>
      </c>
      <c r="B86" s="20" t="s">
        <v>32</v>
      </c>
      <c r="C86" s="22">
        <v>1200000</v>
      </c>
      <c r="D86" s="22">
        <v>28</v>
      </c>
      <c r="E86" s="22">
        <f>+C86/30*D86</f>
        <v>1120000</v>
      </c>
      <c r="F86" s="22">
        <v>77700</v>
      </c>
      <c r="G86" s="22"/>
      <c r="H86" s="22">
        <v>80000</v>
      </c>
      <c r="I86" s="22">
        <f t="shared" si="12"/>
        <v>1277700</v>
      </c>
      <c r="J86" s="22">
        <v>48000</v>
      </c>
      <c r="K86" s="22">
        <v>48000</v>
      </c>
      <c r="L86" s="22"/>
      <c r="M86" s="22"/>
      <c r="N86" s="22">
        <v>0</v>
      </c>
      <c r="O86" s="22"/>
      <c r="P86" s="22"/>
      <c r="Q86" s="22"/>
      <c r="R86" s="22">
        <f t="shared" si="16"/>
        <v>96000</v>
      </c>
      <c r="S86" s="23">
        <f>+I86-R86</f>
        <v>1181700</v>
      </c>
      <c r="T86" s="23"/>
      <c r="U86" s="64"/>
      <c r="V86" s="23">
        <f t="shared" si="31"/>
        <v>1181700</v>
      </c>
      <c r="W86" s="63" t="s">
        <v>164</v>
      </c>
    </row>
    <row r="87" spans="1:27" ht="18.75" customHeight="1" x14ac:dyDescent="0.2">
      <c r="A87" s="19" t="s">
        <v>165</v>
      </c>
      <c r="B87" s="20" t="s">
        <v>32</v>
      </c>
      <c r="C87" s="22">
        <v>1300000</v>
      </c>
      <c r="D87" s="22">
        <v>30</v>
      </c>
      <c r="E87" s="22">
        <f t="shared" ref="E87:E90" si="34">+C87/30*D87</f>
        <v>1300000</v>
      </c>
      <c r="F87" s="22">
        <v>77700</v>
      </c>
      <c r="G87" s="22"/>
      <c r="H87" s="22"/>
      <c r="I87" s="22">
        <f t="shared" si="12"/>
        <v>1377700</v>
      </c>
      <c r="J87" s="22">
        <f t="shared" si="25"/>
        <v>52000</v>
      </c>
      <c r="K87" s="22">
        <f t="shared" si="26"/>
        <v>52000</v>
      </c>
      <c r="L87" s="22"/>
      <c r="M87" s="22"/>
      <c r="N87" s="22"/>
      <c r="O87" s="22"/>
      <c r="P87" s="22"/>
      <c r="Q87" s="22"/>
      <c r="R87" s="22">
        <f t="shared" si="16"/>
        <v>104000</v>
      </c>
      <c r="S87" s="23">
        <f>+I87-R87</f>
        <v>1273700</v>
      </c>
      <c r="T87" s="23"/>
      <c r="U87" s="64"/>
      <c r="V87" s="23">
        <f t="shared" si="31"/>
        <v>1273700</v>
      </c>
      <c r="W87" s="63"/>
    </row>
    <row r="88" spans="1:27" ht="24" x14ac:dyDescent="0.2">
      <c r="A88" s="19" t="s">
        <v>168</v>
      </c>
      <c r="B88" s="20" t="s">
        <v>32</v>
      </c>
      <c r="C88" s="22">
        <v>689455</v>
      </c>
      <c r="D88" s="22">
        <v>30</v>
      </c>
      <c r="E88" s="22">
        <f t="shared" si="34"/>
        <v>689455</v>
      </c>
      <c r="F88" s="22"/>
      <c r="G88" s="22"/>
      <c r="H88" s="22"/>
      <c r="I88" s="22">
        <f t="shared" si="12"/>
        <v>689455</v>
      </c>
      <c r="J88" s="22"/>
      <c r="K88" s="22"/>
      <c r="L88" s="22"/>
      <c r="M88" s="22"/>
      <c r="N88" s="22">
        <v>0</v>
      </c>
      <c r="O88" s="22"/>
      <c r="P88" s="22"/>
      <c r="Q88" s="22"/>
      <c r="R88" s="22">
        <f t="shared" si="16"/>
        <v>0</v>
      </c>
      <c r="S88" s="23">
        <f>I88-R88</f>
        <v>689455</v>
      </c>
      <c r="T88" s="23"/>
      <c r="U88" s="64"/>
      <c r="V88" s="23">
        <f t="shared" si="31"/>
        <v>689455</v>
      </c>
      <c r="W88" s="63"/>
    </row>
    <row r="89" spans="1:27" ht="24" x14ac:dyDescent="0.2">
      <c r="A89" s="19" t="s">
        <v>176</v>
      </c>
      <c r="B89" s="20" t="s">
        <v>32</v>
      </c>
      <c r="C89" s="22">
        <v>4000000</v>
      </c>
      <c r="D89" s="22">
        <v>30</v>
      </c>
      <c r="E89" s="22">
        <f t="shared" si="34"/>
        <v>4000000.0000000005</v>
      </c>
      <c r="F89" s="22"/>
      <c r="G89" s="22"/>
      <c r="H89" s="22"/>
      <c r="I89" s="22">
        <f t="shared" ref="I89" si="35">SUM(E89:G89)+H89</f>
        <v>4000000.0000000005</v>
      </c>
      <c r="J89" s="22">
        <f t="shared" ref="J89" si="36">+E89*4%</f>
        <v>160000.00000000003</v>
      </c>
      <c r="K89" s="22">
        <f>+E89*5%</f>
        <v>200000.00000000003</v>
      </c>
      <c r="L89" s="22"/>
      <c r="M89" s="22"/>
      <c r="N89" s="22">
        <v>31064</v>
      </c>
      <c r="O89" s="22"/>
      <c r="P89" s="22"/>
      <c r="Q89" s="22"/>
      <c r="R89" s="22">
        <f t="shared" si="16"/>
        <v>391064.00000000006</v>
      </c>
      <c r="S89" s="23">
        <f>+I89-R89</f>
        <v>3608936.0000000005</v>
      </c>
      <c r="T89" s="23"/>
      <c r="U89" s="64"/>
      <c r="V89" s="23">
        <f t="shared" si="31"/>
        <v>3608936.0000000005</v>
      </c>
      <c r="W89" s="63"/>
    </row>
    <row r="90" spans="1:27" ht="19.5" customHeight="1" x14ac:dyDescent="0.2">
      <c r="A90" s="19" t="s">
        <v>166</v>
      </c>
      <c r="B90" s="20" t="s">
        <v>32</v>
      </c>
      <c r="C90" s="22">
        <v>2500000</v>
      </c>
      <c r="D90" s="22">
        <v>26</v>
      </c>
      <c r="E90" s="22">
        <f t="shared" si="34"/>
        <v>2166666.6666666665</v>
      </c>
      <c r="F90" s="22"/>
      <c r="G90" s="22"/>
      <c r="H90" s="22">
        <v>333333</v>
      </c>
      <c r="I90" s="22">
        <f t="shared" si="12"/>
        <v>2499999.6666666665</v>
      </c>
      <c r="J90" s="22">
        <v>100000</v>
      </c>
      <c r="K90" s="22">
        <v>100000</v>
      </c>
      <c r="L90" s="22"/>
      <c r="M90" s="22"/>
      <c r="N90" s="22">
        <v>0</v>
      </c>
      <c r="O90" s="22"/>
      <c r="P90" s="22"/>
      <c r="Q90" s="22"/>
      <c r="R90" s="22">
        <f t="shared" si="16"/>
        <v>200000</v>
      </c>
      <c r="S90" s="23">
        <f>I90-R90</f>
        <v>2299999.6666666665</v>
      </c>
      <c r="T90" s="23"/>
      <c r="U90" s="64"/>
      <c r="V90" s="23">
        <f t="shared" si="31"/>
        <v>2299999.6666666665</v>
      </c>
      <c r="W90" s="63" t="s">
        <v>167</v>
      </c>
    </row>
    <row r="91" spans="1:27" x14ac:dyDescent="0.25">
      <c r="A91" s="19" t="s">
        <v>169</v>
      </c>
      <c r="B91" s="26"/>
      <c r="C91" s="22">
        <f>SUM(C4:C90)</f>
        <v>275018529</v>
      </c>
      <c r="D91" s="22" t="s">
        <v>1</v>
      </c>
      <c r="E91" s="22">
        <f>SUM(E4:E90)</f>
        <v>268576566.33333337</v>
      </c>
      <c r="F91" s="22">
        <f>SUM(F5:F86)</f>
        <v>1255500</v>
      </c>
      <c r="G91" s="22">
        <f>SUM(G5:G86)</f>
        <v>10782987</v>
      </c>
      <c r="H91" s="22">
        <f>SUM(H4:H90)</f>
        <v>9190667</v>
      </c>
      <c r="I91" s="22">
        <f>SUM(I5:I86)</f>
        <v>276816265.66666669</v>
      </c>
      <c r="J91" s="22">
        <f>SUM(J5:J86)</f>
        <v>10283905.013333332</v>
      </c>
      <c r="K91" s="22">
        <f>SUM(K5:K86)</f>
        <v>12577656.346666666</v>
      </c>
      <c r="L91" s="22">
        <f>SUM(L5:L86)</f>
        <v>102400</v>
      </c>
      <c r="M91" s="22">
        <f>SUM(M7:M86)</f>
        <v>0</v>
      </c>
      <c r="N91" s="22">
        <f>SUM(N5:N86)</f>
        <v>3988419</v>
      </c>
      <c r="O91" s="22">
        <f>SUM(O5:O86)</f>
        <v>8100000</v>
      </c>
      <c r="P91" s="22">
        <f>SUM(P5:P86)</f>
        <v>1763795</v>
      </c>
      <c r="Q91" s="22">
        <f>SUM(Q5:Q86)</f>
        <v>7011900.6699999999</v>
      </c>
      <c r="R91" s="22">
        <f>SUM(R5:R86)</f>
        <v>43828076.030000001</v>
      </c>
      <c r="S91" s="23">
        <f>SUM(S4:S90)</f>
        <v>244856528.30333337</v>
      </c>
      <c r="T91" s="23">
        <f>SUM(T5:T86)</f>
        <v>0</v>
      </c>
      <c r="U91" s="64">
        <f>SUM(U5:U86)</f>
        <v>0</v>
      </c>
      <c r="V91" s="23">
        <f>SUM(V4:V90)</f>
        <v>244856528.30333337</v>
      </c>
      <c r="W91" s="117"/>
    </row>
    <row r="92" spans="1:27" x14ac:dyDescent="0.25">
      <c r="C92" s="76"/>
      <c r="D92" s="76"/>
      <c r="E92" s="76"/>
      <c r="S92" s="77"/>
      <c r="T92" s="77"/>
      <c r="V92" s="77"/>
    </row>
    <row r="93" spans="1:27" x14ac:dyDescent="0.25"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9"/>
      <c r="T93" s="75"/>
      <c r="U93" s="80"/>
      <c r="V93" s="79"/>
      <c r="W93" s="81"/>
    </row>
    <row r="94" spans="1:27" x14ac:dyDescent="0.25">
      <c r="B94" s="7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5"/>
      <c r="T94" s="75"/>
      <c r="U94" s="80"/>
      <c r="V94" s="79"/>
      <c r="W94" s="101"/>
    </row>
    <row r="95" spans="1:27" x14ac:dyDescent="0.25">
      <c r="A95" s="81"/>
      <c r="B95" s="7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5"/>
      <c r="T95" s="75"/>
      <c r="U95" s="80"/>
      <c r="V95" s="79"/>
      <c r="W95" s="81"/>
    </row>
    <row r="96" spans="1:27" x14ac:dyDescent="0.25">
      <c r="A96" s="81"/>
      <c r="B96" s="7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5"/>
      <c r="T96" s="75"/>
      <c r="U96" s="80"/>
      <c r="V96" s="75"/>
      <c r="W96" s="81"/>
      <c r="X96" s="75"/>
      <c r="Y96" s="75"/>
      <c r="Z96" s="75"/>
      <c r="AA96" s="75"/>
    </row>
    <row r="97" spans="1:27" x14ac:dyDescent="0.25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76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75"/>
      <c r="Y97" s="75"/>
      <c r="Z97" s="75"/>
      <c r="AA97" s="75"/>
    </row>
    <row r="98" spans="1:27" x14ac:dyDescent="0.25">
      <c r="A98" s="81"/>
      <c r="B98" s="7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5"/>
      <c r="T98" s="75"/>
      <c r="U98" s="80"/>
      <c r="V98" s="75"/>
      <c r="W98" s="81"/>
      <c r="X98" s="75"/>
      <c r="Y98" s="75"/>
      <c r="Z98" s="75"/>
      <c r="AA98" s="75"/>
    </row>
    <row r="99" spans="1:27" x14ac:dyDescent="0.25">
      <c r="A99" s="81"/>
      <c r="B99" s="7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5"/>
      <c r="T99" s="75"/>
      <c r="U99" s="80"/>
      <c r="V99" s="75"/>
      <c r="W99" s="81"/>
      <c r="X99" s="75"/>
      <c r="Y99" s="75"/>
      <c r="Z99" s="75"/>
      <c r="AA99" s="75"/>
    </row>
    <row r="100" spans="1:27" x14ac:dyDescent="0.25">
      <c r="A100" s="81"/>
      <c r="B100" s="7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5"/>
      <c r="T100" s="75"/>
      <c r="U100" s="80"/>
      <c r="V100" s="75"/>
      <c r="W100" s="81"/>
      <c r="X100" s="75"/>
      <c r="Y100" s="75"/>
      <c r="Z100" s="75"/>
      <c r="AA100" s="75"/>
    </row>
    <row r="101" spans="1:27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4"/>
      <c r="U101" s="85"/>
      <c r="V101" s="84"/>
      <c r="W101" s="90"/>
      <c r="X101" s="75"/>
      <c r="Y101" s="75"/>
      <c r="Z101" s="75"/>
      <c r="AA101" s="75"/>
    </row>
    <row r="102" spans="1:27" x14ac:dyDescent="0.25">
      <c r="A102" s="81"/>
      <c r="B102" s="84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4"/>
      <c r="T102" s="84"/>
      <c r="U102" s="85"/>
      <c r="V102" s="84"/>
      <c r="W102" s="90"/>
      <c r="X102" s="75"/>
      <c r="Y102" s="75"/>
      <c r="Z102" s="75"/>
      <c r="AA102" s="75"/>
    </row>
    <row r="103" spans="1:27" x14ac:dyDescent="0.25">
      <c r="A103" s="81"/>
      <c r="B103" s="75"/>
      <c r="C103" s="76"/>
      <c r="D103" s="76"/>
      <c r="E103" s="88"/>
      <c r="F103" s="76"/>
      <c r="G103" s="76"/>
      <c r="H103" s="76"/>
      <c r="I103" s="76"/>
      <c r="J103" s="76"/>
      <c r="K103" s="76"/>
      <c r="L103" s="89"/>
      <c r="M103" s="89"/>
      <c r="N103" s="89"/>
      <c r="O103" s="89"/>
      <c r="P103" s="89"/>
      <c r="Q103" s="76"/>
      <c r="R103" s="76"/>
      <c r="S103" s="75"/>
      <c r="T103" s="75"/>
      <c r="U103" s="80"/>
      <c r="V103" s="75"/>
      <c r="W103" s="81"/>
      <c r="X103" s="75"/>
      <c r="Y103" s="75"/>
      <c r="Z103" s="75"/>
      <c r="AA103" s="75"/>
    </row>
    <row r="104" spans="1:27" x14ac:dyDescent="0.25">
      <c r="A104" s="90"/>
      <c r="B104" s="84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4"/>
      <c r="T104" s="84"/>
      <c r="U104" s="85"/>
      <c r="V104" s="84"/>
      <c r="W104" s="90"/>
      <c r="X104" s="75"/>
      <c r="Y104" s="75"/>
      <c r="Z104" s="75"/>
      <c r="AA104" s="75"/>
    </row>
    <row r="105" spans="1:27" x14ac:dyDescent="0.25">
      <c r="A105" s="90"/>
      <c r="B105" s="84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4"/>
      <c r="T105" s="84"/>
      <c r="U105" s="85"/>
      <c r="V105" s="84"/>
      <c r="W105" s="90"/>
      <c r="X105" s="75"/>
      <c r="Y105" s="75"/>
      <c r="Z105" s="75"/>
      <c r="AA105" s="75"/>
    </row>
    <row r="106" spans="1:27" x14ac:dyDescent="0.25">
      <c r="A106" s="90"/>
      <c r="B106" s="84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9"/>
      <c r="T106" s="79"/>
      <c r="U106" s="80"/>
      <c r="V106" s="79"/>
      <c r="W106" s="101"/>
      <c r="X106" s="75"/>
      <c r="Y106" s="75"/>
      <c r="Z106" s="75"/>
      <c r="AA106" s="75"/>
    </row>
    <row r="107" spans="1:27" x14ac:dyDescent="0.25">
      <c r="A107" s="90"/>
      <c r="B107" s="84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9"/>
      <c r="T107" s="79"/>
      <c r="U107" s="80"/>
      <c r="V107" s="79"/>
      <c r="W107" s="101"/>
      <c r="X107" s="75"/>
      <c r="Y107" s="75"/>
      <c r="Z107" s="75"/>
      <c r="AA107" s="75"/>
    </row>
    <row r="108" spans="1:27" x14ac:dyDescent="0.25">
      <c r="A108" s="90"/>
      <c r="B108" s="84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9"/>
      <c r="T108" s="79"/>
      <c r="U108" s="80"/>
      <c r="V108" s="79"/>
      <c r="W108" s="101"/>
      <c r="X108" s="75"/>
      <c r="Y108" s="75"/>
      <c r="Z108" s="75"/>
      <c r="AA108" s="75"/>
    </row>
    <row r="109" spans="1:27" x14ac:dyDescent="0.25">
      <c r="A109" s="90"/>
      <c r="B109" s="84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9"/>
      <c r="T109" s="79"/>
      <c r="U109" s="80"/>
      <c r="V109" s="79"/>
      <c r="W109" s="101"/>
      <c r="X109" s="75"/>
      <c r="Y109" s="75"/>
      <c r="Z109" s="75"/>
      <c r="AA109" s="75"/>
    </row>
    <row r="110" spans="1:27" x14ac:dyDescent="0.25">
      <c r="A110" s="90"/>
      <c r="B110" s="84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9"/>
      <c r="T110" s="79"/>
      <c r="U110" s="80"/>
      <c r="V110" s="79"/>
      <c r="W110" s="101"/>
      <c r="X110" s="75"/>
      <c r="Y110" s="75"/>
      <c r="Z110" s="75"/>
      <c r="AA110" s="75"/>
    </row>
    <row r="111" spans="1:27" x14ac:dyDescent="0.25">
      <c r="A111" s="90"/>
      <c r="B111" s="84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9"/>
      <c r="T111" s="79"/>
      <c r="U111" s="80"/>
      <c r="V111" s="79"/>
      <c r="W111" s="101"/>
      <c r="X111" s="75"/>
      <c r="Y111" s="75"/>
      <c r="Z111" s="75"/>
      <c r="AA111" s="75"/>
    </row>
    <row r="112" spans="1:27" x14ac:dyDescent="0.25">
      <c r="A112" s="81"/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9"/>
      <c r="T112" s="79"/>
      <c r="U112" s="80"/>
      <c r="V112" s="79"/>
      <c r="W112" s="101"/>
      <c r="X112" s="75"/>
      <c r="Y112" s="75"/>
      <c r="Z112" s="75"/>
      <c r="AA112" s="75"/>
    </row>
    <row r="113" spans="1:27" x14ac:dyDescent="0.25">
      <c r="A113" s="90"/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9"/>
      <c r="T113" s="79"/>
      <c r="U113" s="80"/>
      <c r="V113" s="79"/>
      <c r="W113" s="101"/>
      <c r="X113" s="75"/>
      <c r="Y113" s="75"/>
      <c r="Z113" s="75"/>
      <c r="AA113" s="75"/>
    </row>
    <row r="114" spans="1:27" x14ac:dyDescent="0.25">
      <c r="A114" s="90"/>
      <c r="B114" s="75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9"/>
      <c r="T114" s="79"/>
      <c r="U114" s="80"/>
      <c r="V114" s="79"/>
      <c r="W114" s="101"/>
      <c r="X114" s="75"/>
      <c r="Y114" s="75"/>
      <c r="Z114" s="75"/>
      <c r="AA114" s="75"/>
    </row>
    <row r="115" spans="1:27" x14ac:dyDescent="0.25">
      <c r="A115" s="90"/>
      <c r="B115" s="75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9"/>
      <c r="T115" s="79"/>
      <c r="U115" s="80"/>
      <c r="V115" s="79"/>
      <c r="W115" s="101"/>
      <c r="X115" s="75"/>
      <c r="Y115" s="75"/>
      <c r="Z115" s="75"/>
      <c r="AA115" s="75"/>
    </row>
    <row r="116" spans="1:27" x14ac:dyDescent="0.25">
      <c r="A116" s="90"/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9"/>
      <c r="T116" s="79"/>
      <c r="U116" s="80"/>
      <c r="V116" s="79"/>
      <c r="W116" s="101"/>
      <c r="X116" s="75"/>
      <c r="Y116" s="75"/>
      <c r="Z116" s="75"/>
      <c r="AA116" s="75"/>
    </row>
    <row r="117" spans="1:27" x14ac:dyDescent="0.25">
      <c r="A117" s="90"/>
      <c r="B117" s="75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9"/>
      <c r="T117" s="79"/>
      <c r="U117" s="80"/>
      <c r="V117" s="79"/>
      <c r="W117" s="101"/>
      <c r="X117" s="75"/>
      <c r="Y117" s="75"/>
      <c r="Z117" s="75"/>
      <c r="AA117" s="75"/>
    </row>
    <row r="118" spans="1:27" x14ac:dyDescent="0.25">
      <c r="A118" s="90"/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9"/>
      <c r="T118" s="79"/>
      <c r="U118" s="80"/>
      <c r="V118" s="79"/>
      <c r="W118" s="101"/>
      <c r="X118" s="75"/>
      <c r="Y118" s="75"/>
      <c r="Z118" s="75"/>
      <c r="AA118" s="75"/>
    </row>
    <row r="119" spans="1:27" x14ac:dyDescent="0.25">
      <c r="A119" s="90"/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9"/>
      <c r="T119" s="79"/>
      <c r="U119" s="80"/>
      <c r="V119" s="79"/>
      <c r="W119" s="101"/>
      <c r="X119" s="75"/>
      <c r="Y119" s="75"/>
      <c r="Z119" s="75"/>
      <c r="AA119" s="75"/>
    </row>
    <row r="120" spans="1:27" x14ac:dyDescent="0.25">
      <c r="A120" s="90"/>
      <c r="B120" s="7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9"/>
      <c r="T120" s="79"/>
      <c r="U120" s="80"/>
      <c r="V120" s="79"/>
      <c r="W120" s="101"/>
      <c r="X120" s="75"/>
      <c r="Y120" s="75"/>
      <c r="Z120" s="75"/>
      <c r="AA120" s="75"/>
    </row>
    <row r="121" spans="1:27" x14ac:dyDescent="0.25">
      <c r="A121" s="90"/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9"/>
      <c r="T121" s="79"/>
      <c r="U121" s="80"/>
      <c r="V121" s="79"/>
      <c r="W121" s="101"/>
      <c r="X121" s="75"/>
      <c r="Y121" s="75"/>
      <c r="Z121" s="75"/>
      <c r="AA121" s="75"/>
    </row>
    <row r="122" spans="1:27" x14ac:dyDescent="0.25">
      <c r="A122" s="90"/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9"/>
      <c r="T122" s="79"/>
      <c r="U122" s="80"/>
      <c r="V122" s="79"/>
      <c r="W122" s="101"/>
      <c r="X122" s="75"/>
      <c r="Y122" s="75"/>
      <c r="Z122" s="75"/>
      <c r="AA122" s="75"/>
    </row>
    <row r="123" spans="1:27" x14ac:dyDescent="0.25">
      <c r="A123" s="90"/>
      <c r="B123" s="75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9"/>
      <c r="T123" s="79"/>
      <c r="U123" s="80"/>
      <c r="V123" s="79"/>
      <c r="W123" s="101"/>
      <c r="X123" s="75"/>
      <c r="Y123" s="75"/>
      <c r="Z123" s="75"/>
      <c r="AA123" s="75"/>
    </row>
    <row r="124" spans="1:27" x14ac:dyDescent="0.25">
      <c r="A124" s="81"/>
      <c r="B124" s="75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5"/>
      <c r="T124" s="75"/>
      <c r="U124" s="80"/>
      <c r="V124" s="75"/>
      <c r="W124" s="81"/>
      <c r="X124" s="75"/>
      <c r="Y124" s="75"/>
      <c r="Z124" s="75"/>
      <c r="AA124" s="75"/>
    </row>
    <row r="125" spans="1:27" x14ac:dyDescent="0.25">
      <c r="A125" s="81"/>
      <c r="B125" s="75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75"/>
      <c r="Q125" s="76"/>
      <c r="R125" s="76"/>
      <c r="S125" s="75"/>
      <c r="T125" s="75"/>
      <c r="U125" s="80"/>
      <c r="V125" s="75"/>
      <c r="W125" s="81"/>
      <c r="X125" s="75"/>
      <c r="Y125" s="75"/>
      <c r="Z125" s="75"/>
      <c r="AA125" s="75"/>
    </row>
    <row r="126" spans="1:27" x14ac:dyDescent="0.25">
      <c r="A126" s="81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  <c r="R126" s="231"/>
      <c r="S126" s="231"/>
      <c r="T126" s="231"/>
      <c r="U126" s="231"/>
      <c r="V126" s="231"/>
      <c r="W126" s="231"/>
      <c r="X126" s="75"/>
      <c r="Y126" s="75"/>
      <c r="Z126" s="75"/>
      <c r="AA126" s="75"/>
    </row>
    <row r="127" spans="1:27" x14ac:dyDescent="0.25">
      <c r="A127" s="81"/>
      <c r="B127" s="75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4"/>
      <c r="T127" s="84"/>
      <c r="U127" s="85"/>
      <c r="V127" s="84"/>
      <c r="W127" s="90"/>
      <c r="X127" s="75"/>
      <c r="Y127" s="75"/>
      <c r="Z127" s="75"/>
      <c r="AA127" s="75"/>
    </row>
    <row r="128" spans="1:27" x14ac:dyDescent="0.25">
      <c r="A128" s="90"/>
      <c r="B128" s="84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4"/>
      <c r="T128" s="84"/>
      <c r="U128" s="85"/>
      <c r="V128" s="84"/>
      <c r="W128" s="90"/>
    </row>
    <row r="129" spans="1:23" x14ac:dyDescent="0.25">
      <c r="A129" s="90"/>
      <c r="B129" s="84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4"/>
      <c r="T129" s="84"/>
      <c r="U129" s="85"/>
      <c r="V129" s="84"/>
      <c r="W129" s="90"/>
    </row>
    <row r="130" spans="1:23" x14ac:dyDescent="0.25">
      <c r="A130" s="90"/>
      <c r="B130" s="84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9"/>
      <c r="T130" s="79"/>
      <c r="U130" s="80"/>
      <c r="V130" s="79"/>
      <c r="W130" s="101"/>
    </row>
    <row r="131" spans="1:23" x14ac:dyDescent="0.25">
      <c r="A131" s="90"/>
      <c r="B131" s="84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9"/>
      <c r="T131" s="79"/>
      <c r="U131" s="80"/>
      <c r="V131" s="79"/>
      <c r="W131" s="101"/>
    </row>
    <row r="132" spans="1:23" x14ac:dyDescent="0.25">
      <c r="A132" s="90"/>
      <c r="B132" s="84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9"/>
      <c r="T132" s="79"/>
      <c r="U132" s="80"/>
      <c r="V132" s="79"/>
      <c r="W132" s="101"/>
    </row>
    <row r="133" spans="1:23" x14ac:dyDescent="0.25">
      <c r="A133" s="81"/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9"/>
      <c r="T133" s="79"/>
      <c r="U133" s="80"/>
      <c r="V133" s="79"/>
      <c r="W133" s="101"/>
    </row>
    <row r="134" spans="1:23" x14ac:dyDescent="0.25">
      <c r="A134" s="90"/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9"/>
      <c r="T134" s="79"/>
      <c r="U134" s="80"/>
      <c r="V134" s="79"/>
      <c r="W134" s="101"/>
    </row>
    <row r="135" spans="1:23" x14ac:dyDescent="0.25">
      <c r="A135" s="81"/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5"/>
      <c r="T135" s="75"/>
      <c r="U135" s="80"/>
      <c r="V135" s="75"/>
      <c r="W135" s="81"/>
    </row>
    <row r="136" spans="1:23" x14ac:dyDescent="0.25">
      <c r="A136" s="81"/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9"/>
      <c r="T136" s="79"/>
      <c r="U136" s="80"/>
      <c r="V136" s="79"/>
      <c r="W136" s="101"/>
    </row>
    <row r="137" spans="1:23" x14ac:dyDescent="0.25">
      <c r="A137" s="81"/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5"/>
      <c r="T137" s="75"/>
      <c r="U137" s="80"/>
      <c r="V137" s="75"/>
      <c r="W137" s="81"/>
    </row>
    <row r="138" spans="1:23" x14ac:dyDescent="0.25">
      <c r="A138" s="81"/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5"/>
      <c r="T138" s="75"/>
      <c r="U138" s="80"/>
      <c r="V138" s="75"/>
      <c r="W138" s="81"/>
    </row>
    <row r="139" spans="1:23" x14ac:dyDescent="0.25">
      <c r="A139" s="81"/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92"/>
      <c r="T139" s="92"/>
      <c r="U139" s="80"/>
      <c r="V139" s="92"/>
      <c r="W139" s="110"/>
    </row>
    <row r="140" spans="1:23" x14ac:dyDescent="0.25">
      <c r="A140" s="81"/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93"/>
      <c r="T140" s="93"/>
      <c r="U140" s="80"/>
      <c r="V140" s="93"/>
      <c r="W140" s="111"/>
    </row>
    <row r="141" spans="1:23" x14ac:dyDescent="0.25">
      <c r="A141" s="81"/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5"/>
      <c r="T141" s="75"/>
      <c r="U141" s="80"/>
      <c r="V141" s="75"/>
      <c r="W141" s="81"/>
    </row>
    <row r="142" spans="1:23" x14ac:dyDescent="0.25">
      <c r="A142" s="81"/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5"/>
      <c r="T142" s="75"/>
      <c r="U142" s="80"/>
      <c r="V142" s="75"/>
      <c r="W142" s="81"/>
    </row>
    <row r="143" spans="1:23" x14ac:dyDescent="0.25">
      <c r="A143" s="81"/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5"/>
      <c r="T143" s="75"/>
      <c r="U143" s="80"/>
      <c r="V143" s="75"/>
      <c r="W143" s="81"/>
    </row>
    <row r="144" spans="1:23" x14ac:dyDescent="0.25">
      <c r="A144" s="81"/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5"/>
      <c r="T144" s="75"/>
      <c r="U144" s="80"/>
      <c r="V144" s="75"/>
      <c r="W144" s="81"/>
    </row>
    <row r="145" spans="1:23" x14ac:dyDescent="0.25">
      <c r="A145" s="81"/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5"/>
      <c r="T145" s="75"/>
      <c r="U145" s="80"/>
      <c r="V145" s="75"/>
      <c r="W145" s="81"/>
    </row>
    <row r="146" spans="1:23" x14ac:dyDescent="0.25">
      <c r="A146" s="81"/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5"/>
      <c r="T146" s="75"/>
      <c r="U146" s="80"/>
      <c r="V146" s="75"/>
      <c r="W146" s="81"/>
    </row>
    <row r="147" spans="1:23" x14ac:dyDescent="0.25">
      <c r="A147" s="81"/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5"/>
      <c r="T147" s="75"/>
      <c r="U147" s="80"/>
      <c r="V147" s="75"/>
      <c r="W147" s="81"/>
    </row>
    <row r="148" spans="1:23" x14ac:dyDescent="0.25">
      <c r="A148" s="81"/>
      <c r="B148" s="75"/>
      <c r="C148" s="76"/>
      <c r="D148" s="76"/>
      <c r="E148" s="76"/>
      <c r="F148" s="76"/>
      <c r="G148" s="76"/>
      <c r="H148" s="76"/>
      <c r="I148" s="76"/>
      <c r="J148" s="76">
        <v>3003000</v>
      </c>
      <c r="K148" s="76"/>
      <c r="L148" s="76"/>
      <c r="M148" s="76"/>
      <c r="N148" s="76"/>
      <c r="O148" s="76"/>
      <c r="P148" s="76"/>
      <c r="Q148" s="76"/>
      <c r="R148" s="76"/>
      <c r="S148" s="75"/>
      <c r="T148" s="75"/>
      <c r="U148" s="80"/>
      <c r="V148" s="75"/>
      <c r="W148" s="81"/>
    </row>
    <row r="149" spans="1:23" x14ac:dyDescent="0.25">
      <c r="A149" s="90"/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5"/>
      <c r="T149" s="75"/>
      <c r="U149" s="80"/>
      <c r="V149" s="75"/>
      <c r="W149" s="81"/>
    </row>
    <row r="150" spans="1:23" x14ac:dyDescent="0.25">
      <c r="A150" s="90"/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5"/>
      <c r="T150" s="75"/>
      <c r="U150" s="80"/>
      <c r="V150" s="75"/>
      <c r="W150" s="81"/>
    </row>
    <row r="151" spans="1:23" x14ac:dyDescent="0.25">
      <c r="A151" s="90"/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5"/>
      <c r="T151" s="75"/>
      <c r="U151" s="80"/>
      <c r="V151" s="75"/>
      <c r="W151" s="81"/>
    </row>
    <row r="152" spans="1:23" x14ac:dyDescent="0.25">
      <c r="A152" s="90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5"/>
      <c r="T152" s="75"/>
      <c r="U152" s="80"/>
      <c r="V152" s="75"/>
      <c r="W152" s="81"/>
    </row>
    <row r="153" spans="1:23" x14ac:dyDescent="0.25">
      <c r="A153" s="81">
        <v>42614840</v>
      </c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>
        <v>412608</v>
      </c>
      <c r="S153" s="75"/>
      <c r="T153" s="75"/>
      <c r="U153" s="80"/>
      <c r="V153" s="75"/>
      <c r="W153" s="81"/>
    </row>
    <row r="154" spans="1:23" x14ac:dyDescent="0.25">
      <c r="A154" s="81">
        <v>9675182</v>
      </c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>
        <v>1880000</v>
      </c>
      <c r="S154" s="75"/>
      <c r="T154" s="75"/>
      <c r="U154" s="80"/>
      <c r="V154" s="75"/>
      <c r="W154" s="81"/>
    </row>
    <row r="155" spans="1:23" x14ac:dyDescent="0.25">
      <c r="A155" s="81">
        <v>17903600</v>
      </c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5"/>
      <c r="T155" s="75"/>
      <c r="U155" s="80"/>
      <c r="V155" s="75"/>
      <c r="W155" s="81"/>
    </row>
    <row r="156" spans="1:23" x14ac:dyDescent="0.25">
      <c r="A156" s="81">
        <f>SUM(A153:A155)</f>
        <v>70193622</v>
      </c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5"/>
      <c r="T156" s="75"/>
      <c r="U156" s="80"/>
      <c r="V156" s="75"/>
      <c r="W156" s="81"/>
    </row>
    <row r="157" spans="1:23" x14ac:dyDescent="0.25">
      <c r="A157" s="81">
        <v>400000</v>
      </c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5"/>
      <c r="T157" s="75"/>
      <c r="U157" s="80"/>
      <c r="V157" s="75"/>
      <c r="W157" s="81"/>
    </row>
    <row r="158" spans="1:23" x14ac:dyDescent="0.25">
      <c r="A158" s="81">
        <f>+A156+A157</f>
        <v>70593622</v>
      </c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5"/>
      <c r="T158" s="75"/>
      <c r="U158" s="80"/>
      <c r="V158" s="75"/>
      <c r="W158" s="81"/>
    </row>
    <row r="161" spans="1:1" x14ac:dyDescent="0.25">
      <c r="A161" s="74">
        <v>64000000</v>
      </c>
    </row>
    <row r="162" spans="1:1" x14ac:dyDescent="0.25">
      <c r="A162" s="74">
        <v>11000000</v>
      </c>
    </row>
    <row r="163" spans="1:1" x14ac:dyDescent="0.25">
      <c r="A163" s="74">
        <f>+A161+A162</f>
        <v>75000000</v>
      </c>
    </row>
    <row r="167" spans="1:1" x14ac:dyDescent="0.25">
      <c r="A167" s="74">
        <v>2745000</v>
      </c>
    </row>
    <row r="168" spans="1:1" x14ac:dyDescent="0.25">
      <c r="A168" s="74">
        <v>3185000</v>
      </c>
    </row>
    <row r="169" spans="1:1" x14ac:dyDescent="0.25">
      <c r="A169" s="74">
        <v>1080000</v>
      </c>
    </row>
    <row r="170" spans="1:1" x14ac:dyDescent="0.25">
      <c r="A170" s="74">
        <v>4850100</v>
      </c>
    </row>
    <row r="171" spans="1:1" x14ac:dyDescent="0.25">
      <c r="A171" s="74">
        <v>5027500</v>
      </c>
    </row>
    <row r="172" spans="1:1" x14ac:dyDescent="0.25">
      <c r="A172" s="74">
        <v>4566000</v>
      </c>
    </row>
    <row r="173" spans="1:1" x14ac:dyDescent="0.25">
      <c r="A173" s="74">
        <v>1050000</v>
      </c>
    </row>
    <row r="174" spans="1:1" x14ac:dyDescent="0.25">
      <c r="A174" s="74">
        <v>3877333</v>
      </c>
    </row>
    <row r="175" spans="1:1" x14ac:dyDescent="0.25">
      <c r="A175" s="74">
        <v>6732440</v>
      </c>
    </row>
    <row r="176" spans="1:1" x14ac:dyDescent="0.25">
      <c r="A176" s="74">
        <v>3460000</v>
      </c>
    </row>
    <row r="177" spans="1:1" x14ac:dyDescent="0.25">
      <c r="A177" s="74">
        <v>588800</v>
      </c>
    </row>
    <row r="178" spans="1:1" x14ac:dyDescent="0.25">
      <c r="A178" s="74">
        <v>1868000</v>
      </c>
    </row>
    <row r="179" spans="1:1" x14ac:dyDescent="0.25">
      <c r="A179" s="74">
        <v>10313000</v>
      </c>
    </row>
    <row r="180" spans="1:1" x14ac:dyDescent="0.25">
      <c r="A180" s="74">
        <v>3443800</v>
      </c>
    </row>
    <row r="181" spans="1:1" x14ac:dyDescent="0.25">
      <c r="A181" s="74">
        <v>8136400</v>
      </c>
    </row>
    <row r="182" spans="1:1" x14ac:dyDescent="0.25">
      <c r="A182" s="74">
        <v>9675183</v>
      </c>
    </row>
    <row r="183" spans="1:1" x14ac:dyDescent="0.25">
      <c r="A183" s="74">
        <f>SUM(A167:A182)</f>
        <v>70598556</v>
      </c>
    </row>
  </sheetData>
  <mergeCells count="5">
    <mergeCell ref="A1:S1"/>
    <mergeCell ref="C2:I2"/>
    <mergeCell ref="J2:R2"/>
    <mergeCell ref="C125:O125"/>
    <mergeCell ref="B126:W126"/>
  </mergeCells>
  <hyperlinks>
    <hyperlink ref="W5" r:id="rId1" xr:uid="{02804BEF-A794-4485-9FAC-56B6BE2C6010}"/>
    <hyperlink ref="W65" r:id="rId2" xr:uid="{1DB333D6-81D9-475F-94DB-A71DBC39FC28}"/>
    <hyperlink ref="W53" r:id="rId3" xr:uid="{76A19A0A-4476-417C-BB3D-A14E32500DC8}"/>
    <hyperlink ref="W54" r:id="rId4" xr:uid="{6D913A5C-B495-4043-AC33-623CB6AC342B}"/>
    <hyperlink ref="W19" r:id="rId5" xr:uid="{B9B2A5AF-3471-404D-B091-BBCA6CF199CE}"/>
    <hyperlink ref="W36" r:id="rId6" xr:uid="{0C24AA9D-A48C-4957-AC3E-67EBC8D6B187}"/>
    <hyperlink ref="W86" r:id="rId7" xr:uid="{2B9EEB49-D038-4939-B936-EE8711BD1F19}"/>
    <hyperlink ref="W13" r:id="rId8" xr:uid="{A5CA8DAE-02D7-4584-867A-D57817AA7525}"/>
    <hyperlink ref="W85" r:id="rId9" xr:uid="{725D10A1-72AF-48D1-AE78-79E6C1C832EE}"/>
    <hyperlink ref="W84" r:id="rId10" xr:uid="{3884C638-DE46-4208-9448-4A3073E7ECC1}"/>
    <hyperlink ref="W79" r:id="rId11" xr:uid="{97046748-3C22-4B84-A34B-1FC902BA1BCC}"/>
    <hyperlink ref="W76" r:id="rId12" xr:uid="{7AF0E4F8-027F-4F0F-85D2-825474518BB2}"/>
    <hyperlink ref="W74" r:id="rId13" xr:uid="{1F39BD76-036D-4DF0-948D-F5B93155CFE3}"/>
    <hyperlink ref="W72" r:id="rId14" xr:uid="{B5FA70F5-A226-411B-A3FD-0A1C4A55AD4A}"/>
    <hyperlink ref="W70" r:id="rId15" xr:uid="{D8ED71C0-DF89-40D7-855F-75995B8D9482}"/>
    <hyperlink ref="W67" r:id="rId16" xr:uid="{EC5AA569-3A02-4D83-B3EC-C508D1AB194E}"/>
    <hyperlink ref="W66" r:id="rId17" xr:uid="{1DCA8D08-0918-4938-9A18-8077C0D3EA9C}"/>
    <hyperlink ref="W59" r:id="rId18" xr:uid="{D41BF6AF-C53C-491F-B44F-6E48D116A422}"/>
    <hyperlink ref="W56" r:id="rId19" xr:uid="{DB5162F4-7889-4406-AE18-1C82EDF91459}"/>
    <hyperlink ref="W55" r:id="rId20" xr:uid="{8A80E71D-0683-4C1B-8E6C-8DC8F28A020A}"/>
    <hyperlink ref="W45" r:id="rId21" xr:uid="{CD0AD5D3-6F41-4D76-BD0E-C880C4838972}"/>
    <hyperlink ref="W43" r:id="rId22" xr:uid="{AC83DE3E-5042-47B4-A7AA-F9F372E52A5D}"/>
    <hyperlink ref="W31" r:id="rId23" xr:uid="{F0E84086-61FE-4E49-8AA0-49595AECEF0F}"/>
    <hyperlink ref="W30" r:id="rId24" xr:uid="{2EF05017-0F0D-409C-B400-40BF97A6A876}"/>
    <hyperlink ref="W29" r:id="rId25" xr:uid="{ED3D0B59-88EA-4349-99B2-6F212C0E443F}"/>
    <hyperlink ref="W27" r:id="rId26" xr:uid="{D056FF64-CB2B-4EC6-8BF7-A2A6B63550C1}"/>
    <hyperlink ref="W23" r:id="rId27" xr:uid="{A07942D4-7455-45C8-B899-27D06F6B1FF9}"/>
    <hyperlink ref="W21" r:id="rId28" xr:uid="{9F89260D-525D-4236-A47E-05B27BEFBDD1}"/>
    <hyperlink ref="W15" r:id="rId29" xr:uid="{9706CD19-D2F5-4383-BAED-23822844A099}"/>
    <hyperlink ref="W8" r:id="rId30" xr:uid="{8DDF716D-7B69-4169-A3EA-B0CED978B5FB}"/>
    <hyperlink ref="W7" r:id="rId31" xr:uid="{FBB5F543-65EA-46D1-9FA9-AD875D7E699D}"/>
    <hyperlink ref="W25" r:id="rId32" xr:uid="{D894AB42-7508-4238-A700-5043B6A0770F}"/>
    <hyperlink ref="W58" r:id="rId33" xr:uid="{3340F1B5-1152-4FE9-A1BE-9568205E8D6B}"/>
    <hyperlink ref="W75" r:id="rId34" xr:uid="{21A81E90-AA1B-4A53-AAAD-E35B06CCDA02}"/>
    <hyperlink ref="W77" r:id="rId35" xr:uid="{5ECDF62F-D015-462A-8934-13852ABDA9AB}"/>
    <hyperlink ref="W18" r:id="rId36" xr:uid="{39F30410-894E-4957-AAF8-F11C929824B6}"/>
    <hyperlink ref="W12" r:id="rId37" xr:uid="{954A31E2-B441-4E8B-BEF4-3EEBE4D09F84}"/>
    <hyperlink ref="W63" r:id="rId38" xr:uid="{9291CB54-583F-493D-8BCE-8B8EDA6D0AA0}"/>
    <hyperlink ref="W4" r:id="rId39" xr:uid="{BA8CE854-8E2D-46C9-8489-7D7BC15C7267}"/>
    <hyperlink ref="W90" r:id="rId40" xr:uid="{15A0E658-98B4-452B-9AB8-74F93289F7FB}"/>
    <hyperlink ref="W17" r:id="rId41" xr:uid="{246E671E-D39A-45E4-9837-FCDFA084F5C1}"/>
    <hyperlink ref="W33" r:id="rId42" xr:uid="{73A603B2-B753-430D-A6C5-2694B2601D6B}"/>
    <hyperlink ref="W35" r:id="rId43" xr:uid="{F20984C4-BA0E-45FE-80E4-003A118A9021}"/>
    <hyperlink ref="W37" r:id="rId44" xr:uid="{9CC52C4E-8EBF-4E42-9FB1-47696A9BD75B}"/>
    <hyperlink ref="W69" r:id="rId45" xr:uid="{83E0A241-0AEF-4B50-A05D-1DFE7BE0760F}"/>
    <hyperlink ref="W73" r:id="rId46" xr:uid="{9EE30E5B-97A6-4BAB-95DF-602AA2D3F06B}"/>
    <hyperlink ref="W81" r:id="rId47" xr:uid="{8CFDD747-CF5F-48BE-9BBE-DD7D6154E09D}"/>
    <hyperlink ref="W52" r:id="rId48" xr:uid="{FBE1768D-1F6F-4D4D-8111-50B184F4E5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C184"/>
  <sheetViews>
    <sheetView workbookViewId="0">
      <selection activeCell="J3" sqref="E1:J1048576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.7109375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9" width="9.42578125" style="67" customWidth="1"/>
    <col min="20" max="20" width="9.7109375" style="67" customWidth="1"/>
    <col min="21" max="21" width="10.42578125" style="67" customWidth="1"/>
    <col min="22" max="22" width="13.42578125" style="65" customWidth="1"/>
    <col min="23" max="23" width="4.42578125" style="65" customWidth="1"/>
    <col min="24" max="24" width="7.28515625" style="78" customWidth="1"/>
    <col min="25" max="25" width="14.28515625" style="65" customWidth="1"/>
    <col min="26" max="247" width="11.42578125" style="65"/>
    <col min="248" max="248" width="10.5703125" style="65" customWidth="1"/>
    <col min="249" max="249" width="4.85546875" style="65" customWidth="1"/>
    <col min="250" max="250" width="32.42578125" style="65" customWidth="1"/>
    <col min="251" max="251" width="9.85546875" style="65" customWidth="1"/>
    <col min="252" max="252" width="10.140625" style="65" customWidth="1"/>
    <col min="253" max="253" width="12.28515625" style="65" customWidth="1"/>
    <col min="254" max="254" width="15.42578125" style="65" customWidth="1"/>
    <col min="255" max="255" width="11.85546875" style="65" customWidth="1"/>
    <col min="256" max="256" width="13.28515625" style="65" customWidth="1"/>
    <col min="257" max="257" width="15.28515625" style="65" customWidth="1"/>
    <col min="258" max="258" width="11.85546875" style="65" customWidth="1"/>
    <col min="259" max="259" width="6.140625" style="65" customWidth="1"/>
    <col min="260" max="260" width="11.85546875" style="65" customWidth="1"/>
    <col min="261" max="261" width="9.42578125" style="65" customWidth="1"/>
    <col min="262" max="262" width="14.7109375" style="65" customWidth="1"/>
    <col min="263" max="263" width="11.5703125" style="65" customWidth="1"/>
    <col min="264" max="264" width="0.42578125" style="65" customWidth="1"/>
    <col min="265" max="265" width="10.5703125" style="65" bestFit="1" customWidth="1"/>
    <col min="266" max="266" width="12.28515625" style="65" customWidth="1"/>
    <col min="267" max="267" width="12.5703125" style="65" customWidth="1"/>
    <col min="268" max="268" width="10.5703125" style="65" customWidth="1"/>
    <col min="269" max="269" width="10.140625" style="65" customWidth="1"/>
    <col min="270" max="270" width="8.42578125" style="65" customWidth="1"/>
    <col min="271" max="271" width="18.85546875" style="65" customWidth="1"/>
    <col min="272" max="272" width="10.28515625" style="65" customWidth="1"/>
    <col min="273" max="273" width="11.42578125" style="65"/>
    <col min="274" max="274" width="12.140625" style="65" customWidth="1"/>
    <col min="275" max="275" width="10.5703125" style="65" customWidth="1"/>
    <col min="276" max="276" width="12.42578125" style="65" customWidth="1"/>
    <col min="277" max="277" width="15.140625" style="65" customWidth="1"/>
    <col min="278" max="278" width="13.5703125" style="65" customWidth="1"/>
    <col min="279" max="279" width="13.140625" style="65" customWidth="1"/>
    <col min="280" max="280" width="15.7109375" style="65" customWidth="1"/>
    <col min="281" max="281" width="37.5703125" style="65" customWidth="1"/>
    <col min="282" max="503" width="11.42578125" style="65"/>
    <col min="504" max="504" width="10.5703125" style="65" customWidth="1"/>
    <col min="505" max="505" width="4.85546875" style="65" customWidth="1"/>
    <col min="506" max="506" width="32.42578125" style="65" customWidth="1"/>
    <col min="507" max="507" width="9.85546875" style="65" customWidth="1"/>
    <col min="508" max="508" width="10.140625" style="65" customWidth="1"/>
    <col min="509" max="509" width="12.28515625" style="65" customWidth="1"/>
    <col min="510" max="510" width="15.42578125" style="65" customWidth="1"/>
    <col min="511" max="511" width="11.85546875" style="65" customWidth="1"/>
    <col min="512" max="512" width="13.28515625" style="65" customWidth="1"/>
    <col min="513" max="513" width="15.28515625" style="65" customWidth="1"/>
    <col min="514" max="514" width="11.85546875" style="65" customWidth="1"/>
    <col min="515" max="515" width="6.140625" style="65" customWidth="1"/>
    <col min="516" max="516" width="11.85546875" style="65" customWidth="1"/>
    <col min="517" max="517" width="9.42578125" style="65" customWidth="1"/>
    <col min="518" max="518" width="14.7109375" style="65" customWidth="1"/>
    <col min="519" max="519" width="11.5703125" style="65" customWidth="1"/>
    <col min="520" max="520" width="0.42578125" style="65" customWidth="1"/>
    <col min="521" max="521" width="10.5703125" style="65" bestFit="1" customWidth="1"/>
    <col min="522" max="522" width="12.28515625" style="65" customWidth="1"/>
    <col min="523" max="523" width="12.5703125" style="65" customWidth="1"/>
    <col min="524" max="524" width="10.5703125" style="65" customWidth="1"/>
    <col min="525" max="525" width="10.140625" style="65" customWidth="1"/>
    <col min="526" max="526" width="8.42578125" style="65" customWidth="1"/>
    <col min="527" max="527" width="18.85546875" style="65" customWidth="1"/>
    <col min="528" max="528" width="10.28515625" style="65" customWidth="1"/>
    <col min="529" max="529" width="11.42578125" style="65"/>
    <col min="530" max="530" width="12.140625" style="65" customWidth="1"/>
    <col min="531" max="531" width="10.5703125" style="65" customWidth="1"/>
    <col min="532" max="532" width="12.42578125" style="65" customWidth="1"/>
    <col min="533" max="533" width="15.140625" style="65" customWidth="1"/>
    <col min="534" max="534" width="13.5703125" style="65" customWidth="1"/>
    <col min="535" max="535" width="13.140625" style="65" customWidth="1"/>
    <col min="536" max="536" width="15.7109375" style="65" customWidth="1"/>
    <col min="537" max="537" width="37.5703125" style="65" customWidth="1"/>
    <col min="538" max="759" width="11.42578125" style="65"/>
    <col min="760" max="760" width="10.5703125" style="65" customWidth="1"/>
    <col min="761" max="761" width="4.85546875" style="65" customWidth="1"/>
    <col min="762" max="762" width="32.42578125" style="65" customWidth="1"/>
    <col min="763" max="763" width="9.85546875" style="65" customWidth="1"/>
    <col min="764" max="764" width="10.140625" style="65" customWidth="1"/>
    <col min="765" max="765" width="12.28515625" style="65" customWidth="1"/>
    <col min="766" max="766" width="15.42578125" style="65" customWidth="1"/>
    <col min="767" max="767" width="11.85546875" style="65" customWidth="1"/>
    <col min="768" max="768" width="13.28515625" style="65" customWidth="1"/>
    <col min="769" max="769" width="15.28515625" style="65" customWidth="1"/>
    <col min="770" max="770" width="11.85546875" style="65" customWidth="1"/>
    <col min="771" max="771" width="6.140625" style="65" customWidth="1"/>
    <col min="772" max="772" width="11.85546875" style="65" customWidth="1"/>
    <col min="773" max="773" width="9.42578125" style="65" customWidth="1"/>
    <col min="774" max="774" width="14.7109375" style="65" customWidth="1"/>
    <col min="775" max="775" width="11.5703125" style="65" customWidth="1"/>
    <col min="776" max="776" width="0.42578125" style="65" customWidth="1"/>
    <col min="777" max="777" width="10.5703125" style="65" bestFit="1" customWidth="1"/>
    <col min="778" max="778" width="12.28515625" style="65" customWidth="1"/>
    <col min="779" max="779" width="12.5703125" style="65" customWidth="1"/>
    <col min="780" max="780" width="10.5703125" style="65" customWidth="1"/>
    <col min="781" max="781" width="10.140625" style="65" customWidth="1"/>
    <col min="782" max="782" width="8.42578125" style="65" customWidth="1"/>
    <col min="783" max="783" width="18.85546875" style="65" customWidth="1"/>
    <col min="784" max="784" width="10.28515625" style="65" customWidth="1"/>
    <col min="785" max="785" width="11.42578125" style="65"/>
    <col min="786" max="786" width="12.140625" style="65" customWidth="1"/>
    <col min="787" max="787" width="10.5703125" style="65" customWidth="1"/>
    <col min="788" max="788" width="12.42578125" style="65" customWidth="1"/>
    <col min="789" max="789" width="15.140625" style="65" customWidth="1"/>
    <col min="790" max="790" width="13.5703125" style="65" customWidth="1"/>
    <col min="791" max="791" width="13.140625" style="65" customWidth="1"/>
    <col min="792" max="792" width="15.7109375" style="65" customWidth="1"/>
    <col min="793" max="793" width="37.5703125" style="65" customWidth="1"/>
    <col min="794" max="1015" width="11.42578125" style="65"/>
    <col min="1016" max="1016" width="10.5703125" style="65" customWidth="1"/>
    <col min="1017" max="1017" width="4.85546875" style="65" customWidth="1"/>
    <col min="1018" max="1018" width="32.42578125" style="65" customWidth="1"/>
    <col min="1019" max="1019" width="9.85546875" style="65" customWidth="1"/>
    <col min="1020" max="1020" width="10.140625" style="65" customWidth="1"/>
    <col min="1021" max="1021" width="12.28515625" style="65" customWidth="1"/>
    <col min="1022" max="1022" width="15.42578125" style="65" customWidth="1"/>
    <col min="1023" max="1023" width="11.85546875" style="65" customWidth="1"/>
    <col min="1024" max="1024" width="13.28515625" style="65" customWidth="1"/>
    <col min="1025" max="1025" width="15.28515625" style="65" customWidth="1"/>
    <col min="1026" max="1026" width="11.85546875" style="65" customWidth="1"/>
    <col min="1027" max="1027" width="6.140625" style="65" customWidth="1"/>
    <col min="1028" max="1028" width="11.85546875" style="65" customWidth="1"/>
    <col min="1029" max="1029" width="9.42578125" style="65" customWidth="1"/>
    <col min="1030" max="1030" width="14.7109375" style="65" customWidth="1"/>
    <col min="1031" max="1031" width="11.5703125" style="65" customWidth="1"/>
    <col min="1032" max="1032" width="0.42578125" style="65" customWidth="1"/>
    <col min="1033" max="1033" width="10.5703125" style="65" bestFit="1" customWidth="1"/>
    <col min="1034" max="1034" width="12.28515625" style="65" customWidth="1"/>
    <col min="1035" max="1035" width="12.5703125" style="65" customWidth="1"/>
    <col min="1036" max="1036" width="10.5703125" style="65" customWidth="1"/>
    <col min="1037" max="1037" width="10.140625" style="65" customWidth="1"/>
    <col min="1038" max="1038" width="8.42578125" style="65" customWidth="1"/>
    <col min="1039" max="1039" width="18.85546875" style="65" customWidth="1"/>
    <col min="1040" max="1040" width="10.28515625" style="65" customWidth="1"/>
    <col min="1041" max="1041" width="11.42578125" style="65"/>
    <col min="1042" max="1042" width="12.140625" style="65" customWidth="1"/>
    <col min="1043" max="1043" width="10.5703125" style="65" customWidth="1"/>
    <col min="1044" max="1044" width="12.42578125" style="65" customWidth="1"/>
    <col min="1045" max="1045" width="15.140625" style="65" customWidth="1"/>
    <col min="1046" max="1046" width="13.5703125" style="65" customWidth="1"/>
    <col min="1047" max="1047" width="13.140625" style="65" customWidth="1"/>
    <col min="1048" max="1048" width="15.7109375" style="65" customWidth="1"/>
    <col min="1049" max="1049" width="37.5703125" style="65" customWidth="1"/>
    <col min="1050" max="1271" width="11.42578125" style="65"/>
    <col min="1272" max="1272" width="10.5703125" style="65" customWidth="1"/>
    <col min="1273" max="1273" width="4.85546875" style="65" customWidth="1"/>
    <col min="1274" max="1274" width="32.42578125" style="65" customWidth="1"/>
    <col min="1275" max="1275" width="9.85546875" style="65" customWidth="1"/>
    <col min="1276" max="1276" width="10.140625" style="65" customWidth="1"/>
    <col min="1277" max="1277" width="12.28515625" style="65" customWidth="1"/>
    <col min="1278" max="1278" width="15.42578125" style="65" customWidth="1"/>
    <col min="1279" max="1279" width="11.85546875" style="65" customWidth="1"/>
    <col min="1280" max="1280" width="13.28515625" style="65" customWidth="1"/>
    <col min="1281" max="1281" width="15.28515625" style="65" customWidth="1"/>
    <col min="1282" max="1282" width="11.85546875" style="65" customWidth="1"/>
    <col min="1283" max="1283" width="6.140625" style="65" customWidth="1"/>
    <col min="1284" max="1284" width="11.85546875" style="65" customWidth="1"/>
    <col min="1285" max="1285" width="9.42578125" style="65" customWidth="1"/>
    <col min="1286" max="1286" width="14.7109375" style="65" customWidth="1"/>
    <col min="1287" max="1287" width="11.5703125" style="65" customWidth="1"/>
    <col min="1288" max="1288" width="0.42578125" style="65" customWidth="1"/>
    <col min="1289" max="1289" width="10.5703125" style="65" bestFit="1" customWidth="1"/>
    <col min="1290" max="1290" width="12.28515625" style="65" customWidth="1"/>
    <col min="1291" max="1291" width="12.5703125" style="65" customWidth="1"/>
    <col min="1292" max="1292" width="10.5703125" style="65" customWidth="1"/>
    <col min="1293" max="1293" width="10.140625" style="65" customWidth="1"/>
    <col min="1294" max="1294" width="8.42578125" style="65" customWidth="1"/>
    <col min="1295" max="1295" width="18.85546875" style="65" customWidth="1"/>
    <col min="1296" max="1296" width="10.28515625" style="65" customWidth="1"/>
    <col min="1297" max="1297" width="11.42578125" style="65"/>
    <col min="1298" max="1298" width="12.140625" style="65" customWidth="1"/>
    <col min="1299" max="1299" width="10.5703125" style="65" customWidth="1"/>
    <col min="1300" max="1300" width="12.42578125" style="65" customWidth="1"/>
    <col min="1301" max="1301" width="15.140625" style="65" customWidth="1"/>
    <col min="1302" max="1302" width="13.5703125" style="65" customWidth="1"/>
    <col min="1303" max="1303" width="13.140625" style="65" customWidth="1"/>
    <col min="1304" max="1304" width="15.7109375" style="65" customWidth="1"/>
    <col min="1305" max="1305" width="37.5703125" style="65" customWidth="1"/>
    <col min="1306" max="1527" width="11.42578125" style="65"/>
    <col min="1528" max="1528" width="10.5703125" style="65" customWidth="1"/>
    <col min="1529" max="1529" width="4.85546875" style="65" customWidth="1"/>
    <col min="1530" max="1530" width="32.42578125" style="65" customWidth="1"/>
    <col min="1531" max="1531" width="9.85546875" style="65" customWidth="1"/>
    <col min="1532" max="1532" width="10.140625" style="65" customWidth="1"/>
    <col min="1533" max="1533" width="12.28515625" style="65" customWidth="1"/>
    <col min="1534" max="1534" width="15.42578125" style="65" customWidth="1"/>
    <col min="1535" max="1535" width="11.85546875" style="65" customWidth="1"/>
    <col min="1536" max="1536" width="13.28515625" style="65" customWidth="1"/>
    <col min="1537" max="1537" width="15.28515625" style="65" customWidth="1"/>
    <col min="1538" max="1538" width="11.85546875" style="65" customWidth="1"/>
    <col min="1539" max="1539" width="6.140625" style="65" customWidth="1"/>
    <col min="1540" max="1540" width="11.85546875" style="65" customWidth="1"/>
    <col min="1541" max="1541" width="9.42578125" style="65" customWidth="1"/>
    <col min="1542" max="1542" width="14.7109375" style="65" customWidth="1"/>
    <col min="1543" max="1543" width="11.5703125" style="65" customWidth="1"/>
    <col min="1544" max="1544" width="0.42578125" style="65" customWidth="1"/>
    <col min="1545" max="1545" width="10.5703125" style="65" bestFit="1" customWidth="1"/>
    <col min="1546" max="1546" width="12.28515625" style="65" customWidth="1"/>
    <col min="1547" max="1547" width="12.5703125" style="65" customWidth="1"/>
    <col min="1548" max="1548" width="10.5703125" style="65" customWidth="1"/>
    <col min="1549" max="1549" width="10.140625" style="65" customWidth="1"/>
    <col min="1550" max="1550" width="8.42578125" style="65" customWidth="1"/>
    <col min="1551" max="1551" width="18.85546875" style="65" customWidth="1"/>
    <col min="1552" max="1552" width="10.28515625" style="65" customWidth="1"/>
    <col min="1553" max="1553" width="11.42578125" style="65"/>
    <col min="1554" max="1554" width="12.140625" style="65" customWidth="1"/>
    <col min="1555" max="1555" width="10.5703125" style="65" customWidth="1"/>
    <col min="1556" max="1556" width="12.42578125" style="65" customWidth="1"/>
    <col min="1557" max="1557" width="15.140625" style="65" customWidth="1"/>
    <col min="1558" max="1558" width="13.5703125" style="65" customWidth="1"/>
    <col min="1559" max="1559" width="13.140625" style="65" customWidth="1"/>
    <col min="1560" max="1560" width="15.7109375" style="65" customWidth="1"/>
    <col min="1561" max="1561" width="37.5703125" style="65" customWidth="1"/>
    <col min="1562" max="1783" width="11.42578125" style="65"/>
    <col min="1784" max="1784" width="10.5703125" style="65" customWidth="1"/>
    <col min="1785" max="1785" width="4.85546875" style="65" customWidth="1"/>
    <col min="1786" max="1786" width="32.42578125" style="65" customWidth="1"/>
    <col min="1787" max="1787" width="9.85546875" style="65" customWidth="1"/>
    <col min="1788" max="1788" width="10.140625" style="65" customWidth="1"/>
    <col min="1789" max="1789" width="12.28515625" style="65" customWidth="1"/>
    <col min="1790" max="1790" width="15.42578125" style="65" customWidth="1"/>
    <col min="1791" max="1791" width="11.85546875" style="65" customWidth="1"/>
    <col min="1792" max="1792" width="13.28515625" style="65" customWidth="1"/>
    <col min="1793" max="1793" width="15.28515625" style="65" customWidth="1"/>
    <col min="1794" max="1794" width="11.85546875" style="65" customWidth="1"/>
    <col min="1795" max="1795" width="6.140625" style="65" customWidth="1"/>
    <col min="1796" max="1796" width="11.85546875" style="65" customWidth="1"/>
    <col min="1797" max="1797" width="9.42578125" style="65" customWidth="1"/>
    <col min="1798" max="1798" width="14.7109375" style="65" customWidth="1"/>
    <col min="1799" max="1799" width="11.5703125" style="65" customWidth="1"/>
    <col min="1800" max="1800" width="0.42578125" style="65" customWidth="1"/>
    <col min="1801" max="1801" width="10.5703125" style="65" bestFit="1" customWidth="1"/>
    <col min="1802" max="1802" width="12.28515625" style="65" customWidth="1"/>
    <col min="1803" max="1803" width="12.5703125" style="65" customWidth="1"/>
    <col min="1804" max="1804" width="10.5703125" style="65" customWidth="1"/>
    <col min="1805" max="1805" width="10.140625" style="65" customWidth="1"/>
    <col min="1806" max="1806" width="8.42578125" style="65" customWidth="1"/>
    <col min="1807" max="1807" width="18.85546875" style="65" customWidth="1"/>
    <col min="1808" max="1808" width="10.28515625" style="65" customWidth="1"/>
    <col min="1809" max="1809" width="11.42578125" style="65"/>
    <col min="1810" max="1810" width="12.140625" style="65" customWidth="1"/>
    <col min="1811" max="1811" width="10.5703125" style="65" customWidth="1"/>
    <col min="1812" max="1812" width="12.42578125" style="65" customWidth="1"/>
    <col min="1813" max="1813" width="15.140625" style="65" customWidth="1"/>
    <col min="1814" max="1814" width="13.5703125" style="65" customWidth="1"/>
    <col min="1815" max="1815" width="13.140625" style="65" customWidth="1"/>
    <col min="1816" max="1816" width="15.7109375" style="65" customWidth="1"/>
    <col min="1817" max="1817" width="37.5703125" style="65" customWidth="1"/>
    <col min="1818" max="2039" width="11.42578125" style="65"/>
    <col min="2040" max="2040" width="10.5703125" style="65" customWidth="1"/>
    <col min="2041" max="2041" width="4.85546875" style="65" customWidth="1"/>
    <col min="2042" max="2042" width="32.42578125" style="65" customWidth="1"/>
    <col min="2043" max="2043" width="9.85546875" style="65" customWidth="1"/>
    <col min="2044" max="2044" width="10.140625" style="65" customWidth="1"/>
    <col min="2045" max="2045" width="12.28515625" style="65" customWidth="1"/>
    <col min="2046" max="2046" width="15.42578125" style="65" customWidth="1"/>
    <col min="2047" max="2047" width="11.85546875" style="65" customWidth="1"/>
    <col min="2048" max="2048" width="13.28515625" style="65" customWidth="1"/>
    <col min="2049" max="2049" width="15.28515625" style="65" customWidth="1"/>
    <col min="2050" max="2050" width="11.85546875" style="65" customWidth="1"/>
    <col min="2051" max="2051" width="6.140625" style="65" customWidth="1"/>
    <col min="2052" max="2052" width="11.85546875" style="65" customWidth="1"/>
    <col min="2053" max="2053" width="9.42578125" style="65" customWidth="1"/>
    <col min="2054" max="2054" width="14.7109375" style="65" customWidth="1"/>
    <col min="2055" max="2055" width="11.5703125" style="65" customWidth="1"/>
    <col min="2056" max="2056" width="0.42578125" style="65" customWidth="1"/>
    <col min="2057" max="2057" width="10.5703125" style="65" bestFit="1" customWidth="1"/>
    <col min="2058" max="2058" width="12.28515625" style="65" customWidth="1"/>
    <col min="2059" max="2059" width="12.5703125" style="65" customWidth="1"/>
    <col min="2060" max="2060" width="10.5703125" style="65" customWidth="1"/>
    <col min="2061" max="2061" width="10.140625" style="65" customWidth="1"/>
    <col min="2062" max="2062" width="8.42578125" style="65" customWidth="1"/>
    <col min="2063" max="2063" width="18.85546875" style="65" customWidth="1"/>
    <col min="2064" max="2064" width="10.28515625" style="65" customWidth="1"/>
    <col min="2065" max="2065" width="11.42578125" style="65"/>
    <col min="2066" max="2066" width="12.140625" style="65" customWidth="1"/>
    <col min="2067" max="2067" width="10.5703125" style="65" customWidth="1"/>
    <col min="2068" max="2068" width="12.42578125" style="65" customWidth="1"/>
    <col min="2069" max="2069" width="15.140625" style="65" customWidth="1"/>
    <col min="2070" max="2070" width="13.5703125" style="65" customWidth="1"/>
    <col min="2071" max="2071" width="13.140625" style="65" customWidth="1"/>
    <col min="2072" max="2072" width="15.7109375" style="65" customWidth="1"/>
    <col min="2073" max="2073" width="37.5703125" style="65" customWidth="1"/>
    <col min="2074" max="2295" width="11.42578125" style="65"/>
    <col min="2296" max="2296" width="10.5703125" style="65" customWidth="1"/>
    <col min="2297" max="2297" width="4.85546875" style="65" customWidth="1"/>
    <col min="2298" max="2298" width="32.42578125" style="65" customWidth="1"/>
    <col min="2299" max="2299" width="9.85546875" style="65" customWidth="1"/>
    <col min="2300" max="2300" width="10.140625" style="65" customWidth="1"/>
    <col min="2301" max="2301" width="12.28515625" style="65" customWidth="1"/>
    <col min="2302" max="2302" width="15.42578125" style="65" customWidth="1"/>
    <col min="2303" max="2303" width="11.85546875" style="65" customWidth="1"/>
    <col min="2304" max="2304" width="13.28515625" style="65" customWidth="1"/>
    <col min="2305" max="2305" width="15.28515625" style="65" customWidth="1"/>
    <col min="2306" max="2306" width="11.85546875" style="65" customWidth="1"/>
    <col min="2307" max="2307" width="6.140625" style="65" customWidth="1"/>
    <col min="2308" max="2308" width="11.85546875" style="65" customWidth="1"/>
    <col min="2309" max="2309" width="9.42578125" style="65" customWidth="1"/>
    <col min="2310" max="2310" width="14.7109375" style="65" customWidth="1"/>
    <col min="2311" max="2311" width="11.5703125" style="65" customWidth="1"/>
    <col min="2312" max="2312" width="0.42578125" style="65" customWidth="1"/>
    <col min="2313" max="2313" width="10.5703125" style="65" bestFit="1" customWidth="1"/>
    <col min="2314" max="2314" width="12.28515625" style="65" customWidth="1"/>
    <col min="2315" max="2315" width="12.5703125" style="65" customWidth="1"/>
    <col min="2316" max="2316" width="10.5703125" style="65" customWidth="1"/>
    <col min="2317" max="2317" width="10.140625" style="65" customWidth="1"/>
    <col min="2318" max="2318" width="8.42578125" style="65" customWidth="1"/>
    <col min="2319" max="2319" width="18.85546875" style="65" customWidth="1"/>
    <col min="2320" max="2320" width="10.28515625" style="65" customWidth="1"/>
    <col min="2321" max="2321" width="11.42578125" style="65"/>
    <col min="2322" max="2322" width="12.140625" style="65" customWidth="1"/>
    <col min="2323" max="2323" width="10.5703125" style="65" customWidth="1"/>
    <col min="2324" max="2324" width="12.42578125" style="65" customWidth="1"/>
    <col min="2325" max="2325" width="15.140625" style="65" customWidth="1"/>
    <col min="2326" max="2326" width="13.5703125" style="65" customWidth="1"/>
    <col min="2327" max="2327" width="13.140625" style="65" customWidth="1"/>
    <col min="2328" max="2328" width="15.7109375" style="65" customWidth="1"/>
    <col min="2329" max="2329" width="37.5703125" style="65" customWidth="1"/>
    <col min="2330" max="2551" width="11.42578125" style="65"/>
    <col min="2552" max="2552" width="10.5703125" style="65" customWidth="1"/>
    <col min="2553" max="2553" width="4.85546875" style="65" customWidth="1"/>
    <col min="2554" max="2554" width="32.42578125" style="65" customWidth="1"/>
    <col min="2555" max="2555" width="9.85546875" style="65" customWidth="1"/>
    <col min="2556" max="2556" width="10.140625" style="65" customWidth="1"/>
    <col min="2557" max="2557" width="12.28515625" style="65" customWidth="1"/>
    <col min="2558" max="2558" width="15.42578125" style="65" customWidth="1"/>
    <col min="2559" max="2559" width="11.85546875" style="65" customWidth="1"/>
    <col min="2560" max="2560" width="13.28515625" style="65" customWidth="1"/>
    <col min="2561" max="2561" width="15.28515625" style="65" customWidth="1"/>
    <col min="2562" max="2562" width="11.85546875" style="65" customWidth="1"/>
    <col min="2563" max="2563" width="6.140625" style="65" customWidth="1"/>
    <col min="2564" max="2564" width="11.85546875" style="65" customWidth="1"/>
    <col min="2565" max="2565" width="9.42578125" style="65" customWidth="1"/>
    <col min="2566" max="2566" width="14.7109375" style="65" customWidth="1"/>
    <col min="2567" max="2567" width="11.5703125" style="65" customWidth="1"/>
    <col min="2568" max="2568" width="0.42578125" style="65" customWidth="1"/>
    <col min="2569" max="2569" width="10.5703125" style="65" bestFit="1" customWidth="1"/>
    <col min="2570" max="2570" width="12.28515625" style="65" customWidth="1"/>
    <col min="2571" max="2571" width="12.5703125" style="65" customWidth="1"/>
    <col min="2572" max="2572" width="10.5703125" style="65" customWidth="1"/>
    <col min="2573" max="2573" width="10.140625" style="65" customWidth="1"/>
    <col min="2574" max="2574" width="8.42578125" style="65" customWidth="1"/>
    <col min="2575" max="2575" width="18.85546875" style="65" customWidth="1"/>
    <col min="2576" max="2576" width="10.28515625" style="65" customWidth="1"/>
    <col min="2577" max="2577" width="11.42578125" style="65"/>
    <col min="2578" max="2578" width="12.140625" style="65" customWidth="1"/>
    <col min="2579" max="2579" width="10.5703125" style="65" customWidth="1"/>
    <col min="2580" max="2580" width="12.42578125" style="65" customWidth="1"/>
    <col min="2581" max="2581" width="15.140625" style="65" customWidth="1"/>
    <col min="2582" max="2582" width="13.5703125" style="65" customWidth="1"/>
    <col min="2583" max="2583" width="13.140625" style="65" customWidth="1"/>
    <col min="2584" max="2584" width="15.7109375" style="65" customWidth="1"/>
    <col min="2585" max="2585" width="37.5703125" style="65" customWidth="1"/>
    <col min="2586" max="2807" width="11.42578125" style="65"/>
    <col min="2808" max="2808" width="10.5703125" style="65" customWidth="1"/>
    <col min="2809" max="2809" width="4.85546875" style="65" customWidth="1"/>
    <col min="2810" max="2810" width="32.42578125" style="65" customWidth="1"/>
    <col min="2811" max="2811" width="9.85546875" style="65" customWidth="1"/>
    <col min="2812" max="2812" width="10.140625" style="65" customWidth="1"/>
    <col min="2813" max="2813" width="12.28515625" style="65" customWidth="1"/>
    <col min="2814" max="2814" width="15.42578125" style="65" customWidth="1"/>
    <col min="2815" max="2815" width="11.85546875" style="65" customWidth="1"/>
    <col min="2816" max="2816" width="13.28515625" style="65" customWidth="1"/>
    <col min="2817" max="2817" width="15.28515625" style="65" customWidth="1"/>
    <col min="2818" max="2818" width="11.85546875" style="65" customWidth="1"/>
    <col min="2819" max="2819" width="6.140625" style="65" customWidth="1"/>
    <col min="2820" max="2820" width="11.85546875" style="65" customWidth="1"/>
    <col min="2821" max="2821" width="9.42578125" style="65" customWidth="1"/>
    <col min="2822" max="2822" width="14.7109375" style="65" customWidth="1"/>
    <col min="2823" max="2823" width="11.5703125" style="65" customWidth="1"/>
    <col min="2824" max="2824" width="0.42578125" style="65" customWidth="1"/>
    <col min="2825" max="2825" width="10.5703125" style="65" bestFit="1" customWidth="1"/>
    <col min="2826" max="2826" width="12.28515625" style="65" customWidth="1"/>
    <col min="2827" max="2827" width="12.5703125" style="65" customWidth="1"/>
    <col min="2828" max="2828" width="10.5703125" style="65" customWidth="1"/>
    <col min="2829" max="2829" width="10.140625" style="65" customWidth="1"/>
    <col min="2830" max="2830" width="8.42578125" style="65" customWidth="1"/>
    <col min="2831" max="2831" width="18.85546875" style="65" customWidth="1"/>
    <col min="2832" max="2832" width="10.28515625" style="65" customWidth="1"/>
    <col min="2833" max="2833" width="11.42578125" style="65"/>
    <col min="2834" max="2834" width="12.140625" style="65" customWidth="1"/>
    <col min="2835" max="2835" width="10.5703125" style="65" customWidth="1"/>
    <col min="2836" max="2836" width="12.42578125" style="65" customWidth="1"/>
    <col min="2837" max="2837" width="15.140625" style="65" customWidth="1"/>
    <col min="2838" max="2838" width="13.5703125" style="65" customWidth="1"/>
    <col min="2839" max="2839" width="13.140625" style="65" customWidth="1"/>
    <col min="2840" max="2840" width="15.7109375" style="65" customWidth="1"/>
    <col min="2841" max="2841" width="37.5703125" style="65" customWidth="1"/>
    <col min="2842" max="3063" width="11.42578125" style="65"/>
    <col min="3064" max="3064" width="10.5703125" style="65" customWidth="1"/>
    <col min="3065" max="3065" width="4.85546875" style="65" customWidth="1"/>
    <col min="3066" max="3066" width="32.42578125" style="65" customWidth="1"/>
    <col min="3067" max="3067" width="9.85546875" style="65" customWidth="1"/>
    <col min="3068" max="3068" width="10.140625" style="65" customWidth="1"/>
    <col min="3069" max="3069" width="12.28515625" style="65" customWidth="1"/>
    <col min="3070" max="3070" width="15.42578125" style="65" customWidth="1"/>
    <col min="3071" max="3071" width="11.85546875" style="65" customWidth="1"/>
    <col min="3072" max="3072" width="13.28515625" style="65" customWidth="1"/>
    <col min="3073" max="3073" width="15.28515625" style="65" customWidth="1"/>
    <col min="3074" max="3074" width="11.85546875" style="65" customWidth="1"/>
    <col min="3075" max="3075" width="6.140625" style="65" customWidth="1"/>
    <col min="3076" max="3076" width="11.85546875" style="65" customWidth="1"/>
    <col min="3077" max="3077" width="9.42578125" style="65" customWidth="1"/>
    <col min="3078" max="3078" width="14.7109375" style="65" customWidth="1"/>
    <col min="3079" max="3079" width="11.5703125" style="65" customWidth="1"/>
    <col min="3080" max="3080" width="0.42578125" style="65" customWidth="1"/>
    <col min="3081" max="3081" width="10.5703125" style="65" bestFit="1" customWidth="1"/>
    <col min="3082" max="3082" width="12.28515625" style="65" customWidth="1"/>
    <col min="3083" max="3083" width="12.5703125" style="65" customWidth="1"/>
    <col min="3084" max="3084" width="10.5703125" style="65" customWidth="1"/>
    <col min="3085" max="3085" width="10.140625" style="65" customWidth="1"/>
    <col min="3086" max="3086" width="8.42578125" style="65" customWidth="1"/>
    <col min="3087" max="3087" width="18.85546875" style="65" customWidth="1"/>
    <col min="3088" max="3088" width="10.28515625" style="65" customWidth="1"/>
    <col min="3089" max="3089" width="11.42578125" style="65"/>
    <col min="3090" max="3090" width="12.140625" style="65" customWidth="1"/>
    <col min="3091" max="3091" width="10.5703125" style="65" customWidth="1"/>
    <col min="3092" max="3092" width="12.42578125" style="65" customWidth="1"/>
    <col min="3093" max="3093" width="15.140625" style="65" customWidth="1"/>
    <col min="3094" max="3094" width="13.5703125" style="65" customWidth="1"/>
    <col min="3095" max="3095" width="13.140625" style="65" customWidth="1"/>
    <col min="3096" max="3096" width="15.7109375" style="65" customWidth="1"/>
    <col min="3097" max="3097" width="37.5703125" style="65" customWidth="1"/>
    <col min="3098" max="3319" width="11.42578125" style="65"/>
    <col min="3320" max="3320" width="10.5703125" style="65" customWidth="1"/>
    <col min="3321" max="3321" width="4.85546875" style="65" customWidth="1"/>
    <col min="3322" max="3322" width="32.42578125" style="65" customWidth="1"/>
    <col min="3323" max="3323" width="9.85546875" style="65" customWidth="1"/>
    <col min="3324" max="3324" width="10.140625" style="65" customWidth="1"/>
    <col min="3325" max="3325" width="12.28515625" style="65" customWidth="1"/>
    <col min="3326" max="3326" width="15.42578125" style="65" customWidth="1"/>
    <col min="3327" max="3327" width="11.85546875" style="65" customWidth="1"/>
    <col min="3328" max="3328" width="13.28515625" style="65" customWidth="1"/>
    <col min="3329" max="3329" width="15.28515625" style="65" customWidth="1"/>
    <col min="3330" max="3330" width="11.85546875" style="65" customWidth="1"/>
    <col min="3331" max="3331" width="6.140625" style="65" customWidth="1"/>
    <col min="3332" max="3332" width="11.85546875" style="65" customWidth="1"/>
    <col min="3333" max="3333" width="9.42578125" style="65" customWidth="1"/>
    <col min="3334" max="3334" width="14.7109375" style="65" customWidth="1"/>
    <col min="3335" max="3335" width="11.5703125" style="65" customWidth="1"/>
    <col min="3336" max="3336" width="0.42578125" style="65" customWidth="1"/>
    <col min="3337" max="3337" width="10.5703125" style="65" bestFit="1" customWidth="1"/>
    <col min="3338" max="3338" width="12.28515625" style="65" customWidth="1"/>
    <col min="3339" max="3339" width="12.5703125" style="65" customWidth="1"/>
    <col min="3340" max="3340" width="10.5703125" style="65" customWidth="1"/>
    <col min="3341" max="3341" width="10.140625" style="65" customWidth="1"/>
    <col min="3342" max="3342" width="8.42578125" style="65" customWidth="1"/>
    <col min="3343" max="3343" width="18.85546875" style="65" customWidth="1"/>
    <col min="3344" max="3344" width="10.28515625" style="65" customWidth="1"/>
    <col min="3345" max="3345" width="11.42578125" style="65"/>
    <col min="3346" max="3346" width="12.140625" style="65" customWidth="1"/>
    <col min="3347" max="3347" width="10.5703125" style="65" customWidth="1"/>
    <col min="3348" max="3348" width="12.42578125" style="65" customWidth="1"/>
    <col min="3349" max="3349" width="15.140625" style="65" customWidth="1"/>
    <col min="3350" max="3350" width="13.5703125" style="65" customWidth="1"/>
    <col min="3351" max="3351" width="13.140625" style="65" customWidth="1"/>
    <col min="3352" max="3352" width="15.7109375" style="65" customWidth="1"/>
    <col min="3353" max="3353" width="37.5703125" style="65" customWidth="1"/>
    <col min="3354" max="3575" width="11.42578125" style="65"/>
    <col min="3576" max="3576" width="10.5703125" style="65" customWidth="1"/>
    <col min="3577" max="3577" width="4.85546875" style="65" customWidth="1"/>
    <col min="3578" max="3578" width="32.42578125" style="65" customWidth="1"/>
    <col min="3579" max="3579" width="9.85546875" style="65" customWidth="1"/>
    <col min="3580" max="3580" width="10.140625" style="65" customWidth="1"/>
    <col min="3581" max="3581" width="12.28515625" style="65" customWidth="1"/>
    <col min="3582" max="3582" width="15.42578125" style="65" customWidth="1"/>
    <col min="3583" max="3583" width="11.85546875" style="65" customWidth="1"/>
    <col min="3584" max="3584" width="13.28515625" style="65" customWidth="1"/>
    <col min="3585" max="3585" width="15.28515625" style="65" customWidth="1"/>
    <col min="3586" max="3586" width="11.85546875" style="65" customWidth="1"/>
    <col min="3587" max="3587" width="6.140625" style="65" customWidth="1"/>
    <col min="3588" max="3588" width="11.85546875" style="65" customWidth="1"/>
    <col min="3589" max="3589" width="9.42578125" style="65" customWidth="1"/>
    <col min="3590" max="3590" width="14.7109375" style="65" customWidth="1"/>
    <col min="3591" max="3591" width="11.5703125" style="65" customWidth="1"/>
    <col min="3592" max="3592" width="0.42578125" style="65" customWidth="1"/>
    <col min="3593" max="3593" width="10.5703125" style="65" bestFit="1" customWidth="1"/>
    <col min="3594" max="3594" width="12.28515625" style="65" customWidth="1"/>
    <col min="3595" max="3595" width="12.5703125" style="65" customWidth="1"/>
    <col min="3596" max="3596" width="10.5703125" style="65" customWidth="1"/>
    <col min="3597" max="3597" width="10.140625" style="65" customWidth="1"/>
    <col min="3598" max="3598" width="8.42578125" style="65" customWidth="1"/>
    <col min="3599" max="3599" width="18.85546875" style="65" customWidth="1"/>
    <col min="3600" max="3600" width="10.28515625" style="65" customWidth="1"/>
    <col min="3601" max="3601" width="11.42578125" style="65"/>
    <col min="3602" max="3602" width="12.140625" style="65" customWidth="1"/>
    <col min="3603" max="3603" width="10.5703125" style="65" customWidth="1"/>
    <col min="3604" max="3604" width="12.42578125" style="65" customWidth="1"/>
    <col min="3605" max="3605" width="15.140625" style="65" customWidth="1"/>
    <col min="3606" max="3606" width="13.5703125" style="65" customWidth="1"/>
    <col min="3607" max="3607" width="13.140625" style="65" customWidth="1"/>
    <col min="3608" max="3608" width="15.7109375" style="65" customWidth="1"/>
    <col min="3609" max="3609" width="37.5703125" style="65" customWidth="1"/>
    <col min="3610" max="3831" width="11.42578125" style="65"/>
    <col min="3832" max="3832" width="10.5703125" style="65" customWidth="1"/>
    <col min="3833" max="3833" width="4.85546875" style="65" customWidth="1"/>
    <col min="3834" max="3834" width="32.42578125" style="65" customWidth="1"/>
    <col min="3835" max="3835" width="9.85546875" style="65" customWidth="1"/>
    <col min="3836" max="3836" width="10.140625" style="65" customWidth="1"/>
    <col min="3837" max="3837" width="12.28515625" style="65" customWidth="1"/>
    <col min="3838" max="3838" width="15.42578125" style="65" customWidth="1"/>
    <col min="3839" max="3839" width="11.85546875" style="65" customWidth="1"/>
    <col min="3840" max="3840" width="13.28515625" style="65" customWidth="1"/>
    <col min="3841" max="3841" width="15.28515625" style="65" customWidth="1"/>
    <col min="3842" max="3842" width="11.85546875" style="65" customWidth="1"/>
    <col min="3843" max="3843" width="6.140625" style="65" customWidth="1"/>
    <col min="3844" max="3844" width="11.85546875" style="65" customWidth="1"/>
    <col min="3845" max="3845" width="9.42578125" style="65" customWidth="1"/>
    <col min="3846" max="3846" width="14.7109375" style="65" customWidth="1"/>
    <col min="3847" max="3847" width="11.5703125" style="65" customWidth="1"/>
    <col min="3848" max="3848" width="0.42578125" style="65" customWidth="1"/>
    <col min="3849" max="3849" width="10.5703125" style="65" bestFit="1" customWidth="1"/>
    <col min="3850" max="3850" width="12.28515625" style="65" customWidth="1"/>
    <col min="3851" max="3851" width="12.5703125" style="65" customWidth="1"/>
    <col min="3852" max="3852" width="10.5703125" style="65" customWidth="1"/>
    <col min="3853" max="3853" width="10.140625" style="65" customWidth="1"/>
    <col min="3854" max="3854" width="8.42578125" style="65" customWidth="1"/>
    <col min="3855" max="3855" width="18.85546875" style="65" customWidth="1"/>
    <col min="3856" max="3856" width="10.28515625" style="65" customWidth="1"/>
    <col min="3857" max="3857" width="11.42578125" style="65"/>
    <col min="3858" max="3858" width="12.140625" style="65" customWidth="1"/>
    <col min="3859" max="3859" width="10.5703125" style="65" customWidth="1"/>
    <col min="3860" max="3860" width="12.42578125" style="65" customWidth="1"/>
    <col min="3861" max="3861" width="15.140625" style="65" customWidth="1"/>
    <col min="3862" max="3862" width="13.5703125" style="65" customWidth="1"/>
    <col min="3863" max="3863" width="13.140625" style="65" customWidth="1"/>
    <col min="3864" max="3864" width="15.7109375" style="65" customWidth="1"/>
    <col min="3865" max="3865" width="37.5703125" style="65" customWidth="1"/>
    <col min="3866" max="4087" width="11.42578125" style="65"/>
    <col min="4088" max="4088" width="10.5703125" style="65" customWidth="1"/>
    <col min="4089" max="4089" width="4.85546875" style="65" customWidth="1"/>
    <col min="4090" max="4090" width="32.42578125" style="65" customWidth="1"/>
    <col min="4091" max="4091" width="9.85546875" style="65" customWidth="1"/>
    <col min="4092" max="4092" width="10.140625" style="65" customWidth="1"/>
    <col min="4093" max="4093" width="12.28515625" style="65" customWidth="1"/>
    <col min="4094" max="4094" width="15.42578125" style="65" customWidth="1"/>
    <col min="4095" max="4095" width="11.85546875" style="65" customWidth="1"/>
    <col min="4096" max="4096" width="13.28515625" style="65" customWidth="1"/>
    <col min="4097" max="4097" width="15.28515625" style="65" customWidth="1"/>
    <col min="4098" max="4098" width="11.85546875" style="65" customWidth="1"/>
    <col min="4099" max="4099" width="6.140625" style="65" customWidth="1"/>
    <col min="4100" max="4100" width="11.85546875" style="65" customWidth="1"/>
    <col min="4101" max="4101" width="9.42578125" style="65" customWidth="1"/>
    <col min="4102" max="4102" width="14.7109375" style="65" customWidth="1"/>
    <col min="4103" max="4103" width="11.5703125" style="65" customWidth="1"/>
    <col min="4104" max="4104" width="0.42578125" style="65" customWidth="1"/>
    <col min="4105" max="4105" width="10.5703125" style="65" bestFit="1" customWidth="1"/>
    <col min="4106" max="4106" width="12.28515625" style="65" customWidth="1"/>
    <col min="4107" max="4107" width="12.5703125" style="65" customWidth="1"/>
    <col min="4108" max="4108" width="10.5703125" style="65" customWidth="1"/>
    <col min="4109" max="4109" width="10.140625" style="65" customWidth="1"/>
    <col min="4110" max="4110" width="8.42578125" style="65" customWidth="1"/>
    <col min="4111" max="4111" width="18.85546875" style="65" customWidth="1"/>
    <col min="4112" max="4112" width="10.28515625" style="65" customWidth="1"/>
    <col min="4113" max="4113" width="11.42578125" style="65"/>
    <col min="4114" max="4114" width="12.140625" style="65" customWidth="1"/>
    <col min="4115" max="4115" width="10.5703125" style="65" customWidth="1"/>
    <col min="4116" max="4116" width="12.42578125" style="65" customWidth="1"/>
    <col min="4117" max="4117" width="15.140625" style="65" customWidth="1"/>
    <col min="4118" max="4118" width="13.5703125" style="65" customWidth="1"/>
    <col min="4119" max="4119" width="13.140625" style="65" customWidth="1"/>
    <col min="4120" max="4120" width="15.7109375" style="65" customWidth="1"/>
    <col min="4121" max="4121" width="37.5703125" style="65" customWidth="1"/>
    <col min="4122" max="4343" width="11.42578125" style="65"/>
    <col min="4344" max="4344" width="10.5703125" style="65" customWidth="1"/>
    <col min="4345" max="4345" width="4.85546875" style="65" customWidth="1"/>
    <col min="4346" max="4346" width="32.42578125" style="65" customWidth="1"/>
    <col min="4347" max="4347" width="9.85546875" style="65" customWidth="1"/>
    <col min="4348" max="4348" width="10.140625" style="65" customWidth="1"/>
    <col min="4349" max="4349" width="12.28515625" style="65" customWidth="1"/>
    <col min="4350" max="4350" width="15.42578125" style="65" customWidth="1"/>
    <col min="4351" max="4351" width="11.85546875" style="65" customWidth="1"/>
    <col min="4352" max="4352" width="13.28515625" style="65" customWidth="1"/>
    <col min="4353" max="4353" width="15.28515625" style="65" customWidth="1"/>
    <col min="4354" max="4354" width="11.85546875" style="65" customWidth="1"/>
    <col min="4355" max="4355" width="6.140625" style="65" customWidth="1"/>
    <col min="4356" max="4356" width="11.85546875" style="65" customWidth="1"/>
    <col min="4357" max="4357" width="9.42578125" style="65" customWidth="1"/>
    <col min="4358" max="4358" width="14.7109375" style="65" customWidth="1"/>
    <col min="4359" max="4359" width="11.5703125" style="65" customWidth="1"/>
    <col min="4360" max="4360" width="0.42578125" style="65" customWidth="1"/>
    <col min="4361" max="4361" width="10.5703125" style="65" bestFit="1" customWidth="1"/>
    <col min="4362" max="4362" width="12.28515625" style="65" customWidth="1"/>
    <col min="4363" max="4363" width="12.5703125" style="65" customWidth="1"/>
    <col min="4364" max="4364" width="10.5703125" style="65" customWidth="1"/>
    <col min="4365" max="4365" width="10.140625" style="65" customWidth="1"/>
    <col min="4366" max="4366" width="8.42578125" style="65" customWidth="1"/>
    <col min="4367" max="4367" width="18.85546875" style="65" customWidth="1"/>
    <col min="4368" max="4368" width="10.28515625" style="65" customWidth="1"/>
    <col min="4369" max="4369" width="11.42578125" style="65"/>
    <col min="4370" max="4370" width="12.140625" style="65" customWidth="1"/>
    <col min="4371" max="4371" width="10.5703125" style="65" customWidth="1"/>
    <col min="4372" max="4372" width="12.42578125" style="65" customWidth="1"/>
    <col min="4373" max="4373" width="15.140625" style="65" customWidth="1"/>
    <col min="4374" max="4374" width="13.5703125" style="65" customWidth="1"/>
    <col min="4375" max="4375" width="13.140625" style="65" customWidth="1"/>
    <col min="4376" max="4376" width="15.7109375" style="65" customWidth="1"/>
    <col min="4377" max="4377" width="37.5703125" style="65" customWidth="1"/>
    <col min="4378" max="4599" width="11.42578125" style="65"/>
    <col min="4600" max="4600" width="10.5703125" style="65" customWidth="1"/>
    <col min="4601" max="4601" width="4.85546875" style="65" customWidth="1"/>
    <col min="4602" max="4602" width="32.42578125" style="65" customWidth="1"/>
    <col min="4603" max="4603" width="9.85546875" style="65" customWidth="1"/>
    <col min="4604" max="4604" width="10.140625" style="65" customWidth="1"/>
    <col min="4605" max="4605" width="12.28515625" style="65" customWidth="1"/>
    <col min="4606" max="4606" width="15.42578125" style="65" customWidth="1"/>
    <col min="4607" max="4607" width="11.85546875" style="65" customWidth="1"/>
    <col min="4608" max="4608" width="13.28515625" style="65" customWidth="1"/>
    <col min="4609" max="4609" width="15.28515625" style="65" customWidth="1"/>
    <col min="4610" max="4610" width="11.85546875" style="65" customWidth="1"/>
    <col min="4611" max="4611" width="6.140625" style="65" customWidth="1"/>
    <col min="4612" max="4612" width="11.85546875" style="65" customWidth="1"/>
    <col min="4613" max="4613" width="9.42578125" style="65" customWidth="1"/>
    <col min="4614" max="4614" width="14.7109375" style="65" customWidth="1"/>
    <col min="4615" max="4615" width="11.5703125" style="65" customWidth="1"/>
    <col min="4616" max="4616" width="0.42578125" style="65" customWidth="1"/>
    <col min="4617" max="4617" width="10.5703125" style="65" bestFit="1" customWidth="1"/>
    <col min="4618" max="4618" width="12.28515625" style="65" customWidth="1"/>
    <col min="4619" max="4619" width="12.5703125" style="65" customWidth="1"/>
    <col min="4620" max="4620" width="10.5703125" style="65" customWidth="1"/>
    <col min="4621" max="4621" width="10.140625" style="65" customWidth="1"/>
    <col min="4622" max="4622" width="8.42578125" style="65" customWidth="1"/>
    <col min="4623" max="4623" width="18.85546875" style="65" customWidth="1"/>
    <col min="4624" max="4624" width="10.28515625" style="65" customWidth="1"/>
    <col min="4625" max="4625" width="11.42578125" style="65"/>
    <col min="4626" max="4626" width="12.140625" style="65" customWidth="1"/>
    <col min="4627" max="4627" width="10.5703125" style="65" customWidth="1"/>
    <col min="4628" max="4628" width="12.42578125" style="65" customWidth="1"/>
    <col min="4629" max="4629" width="15.140625" style="65" customWidth="1"/>
    <col min="4630" max="4630" width="13.5703125" style="65" customWidth="1"/>
    <col min="4631" max="4631" width="13.140625" style="65" customWidth="1"/>
    <col min="4632" max="4632" width="15.7109375" style="65" customWidth="1"/>
    <col min="4633" max="4633" width="37.5703125" style="65" customWidth="1"/>
    <col min="4634" max="4855" width="11.42578125" style="65"/>
    <col min="4856" max="4856" width="10.5703125" style="65" customWidth="1"/>
    <col min="4857" max="4857" width="4.85546875" style="65" customWidth="1"/>
    <col min="4858" max="4858" width="32.42578125" style="65" customWidth="1"/>
    <col min="4859" max="4859" width="9.85546875" style="65" customWidth="1"/>
    <col min="4860" max="4860" width="10.140625" style="65" customWidth="1"/>
    <col min="4861" max="4861" width="12.28515625" style="65" customWidth="1"/>
    <col min="4862" max="4862" width="15.42578125" style="65" customWidth="1"/>
    <col min="4863" max="4863" width="11.85546875" style="65" customWidth="1"/>
    <col min="4864" max="4864" width="13.28515625" style="65" customWidth="1"/>
    <col min="4865" max="4865" width="15.28515625" style="65" customWidth="1"/>
    <col min="4866" max="4866" width="11.85546875" style="65" customWidth="1"/>
    <col min="4867" max="4867" width="6.140625" style="65" customWidth="1"/>
    <col min="4868" max="4868" width="11.85546875" style="65" customWidth="1"/>
    <col min="4869" max="4869" width="9.42578125" style="65" customWidth="1"/>
    <col min="4870" max="4870" width="14.7109375" style="65" customWidth="1"/>
    <col min="4871" max="4871" width="11.5703125" style="65" customWidth="1"/>
    <col min="4872" max="4872" width="0.42578125" style="65" customWidth="1"/>
    <col min="4873" max="4873" width="10.5703125" style="65" bestFit="1" customWidth="1"/>
    <col min="4874" max="4874" width="12.28515625" style="65" customWidth="1"/>
    <col min="4875" max="4875" width="12.5703125" style="65" customWidth="1"/>
    <col min="4876" max="4876" width="10.5703125" style="65" customWidth="1"/>
    <col min="4877" max="4877" width="10.140625" style="65" customWidth="1"/>
    <col min="4878" max="4878" width="8.42578125" style="65" customWidth="1"/>
    <col min="4879" max="4879" width="18.85546875" style="65" customWidth="1"/>
    <col min="4880" max="4880" width="10.28515625" style="65" customWidth="1"/>
    <col min="4881" max="4881" width="11.42578125" style="65"/>
    <col min="4882" max="4882" width="12.140625" style="65" customWidth="1"/>
    <col min="4883" max="4883" width="10.5703125" style="65" customWidth="1"/>
    <col min="4884" max="4884" width="12.42578125" style="65" customWidth="1"/>
    <col min="4885" max="4885" width="15.140625" style="65" customWidth="1"/>
    <col min="4886" max="4886" width="13.5703125" style="65" customWidth="1"/>
    <col min="4887" max="4887" width="13.140625" style="65" customWidth="1"/>
    <col min="4888" max="4888" width="15.7109375" style="65" customWidth="1"/>
    <col min="4889" max="4889" width="37.5703125" style="65" customWidth="1"/>
    <col min="4890" max="5111" width="11.42578125" style="65"/>
    <col min="5112" max="5112" width="10.5703125" style="65" customWidth="1"/>
    <col min="5113" max="5113" width="4.85546875" style="65" customWidth="1"/>
    <col min="5114" max="5114" width="32.42578125" style="65" customWidth="1"/>
    <col min="5115" max="5115" width="9.85546875" style="65" customWidth="1"/>
    <col min="5116" max="5116" width="10.140625" style="65" customWidth="1"/>
    <col min="5117" max="5117" width="12.28515625" style="65" customWidth="1"/>
    <col min="5118" max="5118" width="15.42578125" style="65" customWidth="1"/>
    <col min="5119" max="5119" width="11.85546875" style="65" customWidth="1"/>
    <col min="5120" max="5120" width="13.28515625" style="65" customWidth="1"/>
    <col min="5121" max="5121" width="15.28515625" style="65" customWidth="1"/>
    <col min="5122" max="5122" width="11.85546875" style="65" customWidth="1"/>
    <col min="5123" max="5123" width="6.140625" style="65" customWidth="1"/>
    <col min="5124" max="5124" width="11.85546875" style="65" customWidth="1"/>
    <col min="5125" max="5125" width="9.42578125" style="65" customWidth="1"/>
    <col min="5126" max="5126" width="14.7109375" style="65" customWidth="1"/>
    <col min="5127" max="5127" width="11.5703125" style="65" customWidth="1"/>
    <col min="5128" max="5128" width="0.42578125" style="65" customWidth="1"/>
    <col min="5129" max="5129" width="10.5703125" style="65" bestFit="1" customWidth="1"/>
    <col min="5130" max="5130" width="12.28515625" style="65" customWidth="1"/>
    <col min="5131" max="5131" width="12.5703125" style="65" customWidth="1"/>
    <col min="5132" max="5132" width="10.5703125" style="65" customWidth="1"/>
    <col min="5133" max="5133" width="10.140625" style="65" customWidth="1"/>
    <col min="5134" max="5134" width="8.42578125" style="65" customWidth="1"/>
    <col min="5135" max="5135" width="18.85546875" style="65" customWidth="1"/>
    <col min="5136" max="5136" width="10.28515625" style="65" customWidth="1"/>
    <col min="5137" max="5137" width="11.42578125" style="65"/>
    <col min="5138" max="5138" width="12.140625" style="65" customWidth="1"/>
    <col min="5139" max="5139" width="10.5703125" style="65" customWidth="1"/>
    <col min="5140" max="5140" width="12.42578125" style="65" customWidth="1"/>
    <col min="5141" max="5141" width="15.140625" style="65" customWidth="1"/>
    <col min="5142" max="5142" width="13.5703125" style="65" customWidth="1"/>
    <col min="5143" max="5143" width="13.140625" style="65" customWidth="1"/>
    <col min="5144" max="5144" width="15.7109375" style="65" customWidth="1"/>
    <col min="5145" max="5145" width="37.5703125" style="65" customWidth="1"/>
    <col min="5146" max="5367" width="11.42578125" style="65"/>
    <col min="5368" max="5368" width="10.5703125" style="65" customWidth="1"/>
    <col min="5369" max="5369" width="4.85546875" style="65" customWidth="1"/>
    <col min="5370" max="5370" width="32.42578125" style="65" customWidth="1"/>
    <col min="5371" max="5371" width="9.85546875" style="65" customWidth="1"/>
    <col min="5372" max="5372" width="10.140625" style="65" customWidth="1"/>
    <col min="5373" max="5373" width="12.28515625" style="65" customWidth="1"/>
    <col min="5374" max="5374" width="15.42578125" style="65" customWidth="1"/>
    <col min="5375" max="5375" width="11.85546875" style="65" customWidth="1"/>
    <col min="5376" max="5376" width="13.28515625" style="65" customWidth="1"/>
    <col min="5377" max="5377" width="15.28515625" style="65" customWidth="1"/>
    <col min="5378" max="5378" width="11.85546875" style="65" customWidth="1"/>
    <col min="5379" max="5379" width="6.140625" style="65" customWidth="1"/>
    <col min="5380" max="5380" width="11.85546875" style="65" customWidth="1"/>
    <col min="5381" max="5381" width="9.42578125" style="65" customWidth="1"/>
    <col min="5382" max="5382" width="14.7109375" style="65" customWidth="1"/>
    <col min="5383" max="5383" width="11.5703125" style="65" customWidth="1"/>
    <col min="5384" max="5384" width="0.42578125" style="65" customWidth="1"/>
    <col min="5385" max="5385" width="10.5703125" style="65" bestFit="1" customWidth="1"/>
    <col min="5386" max="5386" width="12.28515625" style="65" customWidth="1"/>
    <col min="5387" max="5387" width="12.5703125" style="65" customWidth="1"/>
    <col min="5388" max="5388" width="10.5703125" style="65" customWidth="1"/>
    <col min="5389" max="5389" width="10.140625" style="65" customWidth="1"/>
    <col min="5390" max="5390" width="8.42578125" style="65" customWidth="1"/>
    <col min="5391" max="5391" width="18.85546875" style="65" customWidth="1"/>
    <col min="5392" max="5392" width="10.28515625" style="65" customWidth="1"/>
    <col min="5393" max="5393" width="11.42578125" style="65"/>
    <col min="5394" max="5394" width="12.140625" style="65" customWidth="1"/>
    <col min="5395" max="5395" width="10.5703125" style="65" customWidth="1"/>
    <col min="5396" max="5396" width="12.42578125" style="65" customWidth="1"/>
    <col min="5397" max="5397" width="15.140625" style="65" customWidth="1"/>
    <col min="5398" max="5398" width="13.5703125" style="65" customWidth="1"/>
    <col min="5399" max="5399" width="13.140625" style="65" customWidth="1"/>
    <col min="5400" max="5400" width="15.7109375" style="65" customWidth="1"/>
    <col min="5401" max="5401" width="37.5703125" style="65" customWidth="1"/>
    <col min="5402" max="5623" width="11.42578125" style="65"/>
    <col min="5624" max="5624" width="10.5703125" style="65" customWidth="1"/>
    <col min="5625" max="5625" width="4.85546875" style="65" customWidth="1"/>
    <col min="5626" max="5626" width="32.42578125" style="65" customWidth="1"/>
    <col min="5627" max="5627" width="9.85546875" style="65" customWidth="1"/>
    <col min="5628" max="5628" width="10.140625" style="65" customWidth="1"/>
    <col min="5629" max="5629" width="12.28515625" style="65" customWidth="1"/>
    <col min="5630" max="5630" width="15.42578125" style="65" customWidth="1"/>
    <col min="5631" max="5631" width="11.85546875" style="65" customWidth="1"/>
    <col min="5632" max="5632" width="13.28515625" style="65" customWidth="1"/>
    <col min="5633" max="5633" width="15.28515625" style="65" customWidth="1"/>
    <col min="5634" max="5634" width="11.85546875" style="65" customWidth="1"/>
    <col min="5635" max="5635" width="6.140625" style="65" customWidth="1"/>
    <col min="5636" max="5636" width="11.85546875" style="65" customWidth="1"/>
    <col min="5637" max="5637" width="9.42578125" style="65" customWidth="1"/>
    <col min="5638" max="5638" width="14.7109375" style="65" customWidth="1"/>
    <col min="5639" max="5639" width="11.5703125" style="65" customWidth="1"/>
    <col min="5640" max="5640" width="0.42578125" style="65" customWidth="1"/>
    <col min="5641" max="5641" width="10.5703125" style="65" bestFit="1" customWidth="1"/>
    <col min="5642" max="5642" width="12.28515625" style="65" customWidth="1"/>
    <col min="5643" max="5643" width="12.5703125" style="65" customWidth="1"/>
    <col min="5644" max="5644" width="10.5703125" style="65" customWidth="1"/>
    <col min="5645" max="5645" width="10.140625" style="65" customWidth="1"/>
    <col min="5646" max="5646" width="8.42578125" style="65" customWidth="1"/>
    <col min="5647" max="5647" width="18.85546875" style="65" customWidth="1"/>
    <col min="5648" max="5648" width="10.28515625" style="65" customWidth="1"/>
    <col min="5649" max="5649" width="11.42578125" style="65"/>
    <col min="5650" max="5650" width="12.140625" style="65" customWidth="1"/>
    <col min="5651" max="5651" width="10.5703125" style="65" customWidth="1"/>
    <col min="5652" max="5652" width="12.42578125" style="65" customWidth="1"/>
    <col min="5653" max="5653" width="15.140625" style="65" customWidth="1"/>
    <col min="5654" max="5654" width="13.5703125" style="65" customWidth="1"/>
    <col min="5655" max="5655" width="13.140625" style="65" customWidth="1"/>
    <col min="5656" max="5656" width="15.7109375" style="65" customWidth="1"/>
    <col min="5657" max="5657" width="37.5703125" style="65" customWidth="1"/>
    <col min="5658" max="5879" width="11.42578125" style="65"/>
    <col min="5880" max="5880" width="10.5703125" style="65" customWidth="1"/>
    <col min="5881" max="5881" width="4.85546875" style="65" customWidth="1"/>
    <col min="5882" max="5882" width="32.42578125" style="65" customWidth="1"/>
    <col min="5883" max="5883" width="9.85546875" style="65" customWidth="1"/>
    <col min="5884" max="5884" width="10.140625" style="65" customWidth="1"/>
    <col min="5885" max="5885" width="12.28515625" style="65" customWidth="1"/>
    <col min="5886" max="5886" width="15.42578125" style="65" customWidth="1"/>
    <col min="5887" max="5887" width="11.85546875" style="65" customWidth="1"/>
    <col min="5888" max="5888" width="13.28515625" style="65" customWidth="1"/>
    <col min="5889" max="5889" width="15.28515625" style="65" customWidth="1"/>
    <col min="5890" max="5890" width="11.85546875" style="65" customWidth="1"/>
    <col min="5891" max="5891" width="6.140625" style="65" customWidth="1"/>
    <col min="5892" max="5892" width="11.85546875" style="65" customWidth="1"/>
    <col min="5893" max="5893" width="9.42578125" style="65" customWidth="1"/>
    <col min="5894" max="5894" width="14.7109375" style="65" customWidth="1"/>
    <col min="5895" max="5895" width="11.5703125" style="65" customWidth="1"/>
    <col min="5896" max="5896" width="0.42578125" style="65" customWidth="1"/>
    <col min="5897" max="5897" width="10.5703125" style="65" bestFit="1" customWidth="1"/>
    <col min="5898" max="5898" width="12.28515625" style="65" customWidth="1"/>
    <col min="5899" max="5899" width="12.5703125" style="65" customWidth="1"/>
    <col min="5900" max="5900" width="10.5703125" style="65" customWidth="1"/>
    <col min="5901" max="5901" width="10.140625" style="65" customWidth="1"/>
    <col min="5902" max="5902" width="8.42578125" style="65" customWidth="1"/>
    <col min="5903" max="5903" width="18.85546875" style="65" customWidth="1"/>
    <col min="5904" max="5904" width="10.28515625" style="65" customWidth="1"/>
    <col min="5905" max="5905" width="11.42578125" style="65"/>
    <col min="5906" max="5906" width="12.140625" style="65" customWidth="1"/>
    <col min="5907" max="5907" width="10.5703125" style="65" customWidth="1"/>
    <col min="5908" max="5908" width="12.42578125" style="65" customWidth="1"/>
    <col min="5909" max="5909" width="15.140625" style="65" customWidth="1"/>
    <col min="5910" max="5910" width="13.5703125" style="65" customWidth="1"/>
    <col min="5911" max="5911" width="13.140625" style="65" customWidth="1"/>
    <col min="5912" max="5912" width="15.7109375" style="65" customWidth="1"/>
    <col min="5913" max="5913" width="37.5703125" style="65" customWidth="1"/>
    <col min="5914" max="6135" width="11.42578125" style="65"/>
    <col min="6136" max="6136" width="10.5703125" style="65" customWidth="1"/>
    <col min="6137" max="6137" width="4.85546875" style="65" customWidth="1"/>
    <col min="6138" max="6138" width="32.42578125" style="65" customWidth="1"/>
    <col min="6139" max="6139" width="9.85546875" style="65" customWidth="1"/>
    <col min="6140" max="6140" width="10.140625" style="65" customWidth="1"/>
    <col min="6141" max="6141" width="12.28515625" style="65" customWidth="1"/>
    <col min="6142" max="6142" width="15.42578125" style="65" customWidth="1"/>
    <col min="6143" max="6143" width="11.85546875" style="65" customWidth="1"/>
    <col min="6144" max="6144" width="13.28515625" style="65" customWidth="1"/>
    <col min="6145" max="6145" width="15.28515625" style="65" customWidth="1"/>
    <col min="6146" max="6146" width="11.85546875" style="65" customWidth="1"/>
    <col min="6147" max="6147" width="6.140625" style="65" customWidth="1"/>
    <col min="6148" max="6148" width="11.85546875" style="65" customWidth="1"/>
    <col min="6149" max="6149" width="9.42578125" style="65" customWidth="1"/>
    <col min="6150" max="6150" width="14.7109375" style="65" customWidth="1"/>
    <col min="6151" max="6151" width="11.5703125" style="65" customWidth="1"/>
    <col min="6152" max="6152" width="0.42578125" style="65" customWidth="1"/>
    <col min="6153" max="6153" width="10.5703125" style="65" bestFit="1" customWidth="1"/>
    <col min="6154" max="6154" width="12.28515625" style="65" customWidth="1"/>
    <col min="6155" max="6155" width="12.5703125" style="65" customWidth="1"/>
    <col min="6156" max="6156" width="10.5703125" style="65" customWidth="1"/>
    <col min="6157" max="6157" width="10.140625" style="65" customWidth="1"/>
    <col min="6158" max="6158" width="8.42578125" style="65" customWidth="1"/>
    <col min="6159" max="6159" width="18.85546875" style="65" customWidth="1"/>
    <col min="6160" max="6160" width="10.28515625" style="65" customWidth="1"/>
    <col min="6161" max="6161" width="11.42578125" style="65"/>
    <col min="6162" max="6162" width="12.140625" style="65" customWidth="1"/>
    <col min="6163" max="6163" width="10.5703125" style="65" customWidth="1"/>
    <col min="6164" max="6164" width="12.42578125" style="65" customWidth="1"/>
    <col min="6165" max="6165" width="15.140625" style="65" customWidth="1"/>
    <col min="6166" max="6166" width="13.5703125" style="65" customWidth="1"/>
    <col min="6167" max="6167" width="13.140625" style="65" customWidth="1"/>
    <col min="6168" max="6168" width="15.7109375" style="65" customWidth="1"/>
    <col min="6169" max="6169" width="37.5703125" style="65" customWidth="1"/>
    <col min="6170" max="6391" width="11.42578125" style="65"/>
    <col min="6392" max="6392" width="10.5703125" style="65" customWidth="1"/>
    <col min="6393" max="6393" width="4.85546875" style="65" customWidth="1"/>
    <col min="6394" max="6394" width="32.42578125" style="65" customWidth="1"/>
    <col min="6395" max="6395" width="9.85546875" style="65" customWidth="1"/>
    <col min="6396" max="6396" width="10.140625" style="65" customWidth="1"/>
    <col min="6397" max="6397" width="12.28515625" style="65" customWidth="1"/>
    <col min="6398" max="6398" width="15.42578125" style="65" customWidth="1"/>
    <col min="6399" max="6399" width="11.85546875" style="65" customWidth="1"/>
    <col min="6400" max="6400" width="13.28515625" style="65" customWidth="1"/>
    <col min="6401" max="6401" width="15.28515625" style="65" customWidth="1"/>
    <col min="6402" max="6402" width="11.85546875" style="65" customWidth="1"/>
    <col min="6403" max="6403" width="6.140625" style="65" customWidth="1"/>
    <col min="6404" max="6404" width="11.85546875" style="65" customWidth="1"/>
    <col min="6405" max="6405" width="9.42578125" style="65" customWidth="1"/>
    <col min="6406" max="6406" width="14.7109375" style="65" customWidth="1"/>
    <col min="6407" max="6407" width="11.5703125" style="65" customWidth="1"/>
    <col min="6408" max="6408" width="0.42578125" style="65" customWidth="1"/>
    <col min="6409" max="6409" width="10.5703125" style="65" bestFit="1" customWidth="1"/>
    <col min="6410" max="6410" width="12.28515625" style="65" customWidth="1"/>
    <col min="6411" max="6411" width="12.5703125" style="65" customWidth="1"/>
    <col min="6412" max="6412" width="10.5703125" style="65" customWidth="1"/>
    <col min="6413" max="6413" width="10.140625" style="65" customWidth="1"/>
    <col min="6414" max="6414" width="8.42578125" style="65" customWidth="1"/>
    <col min="6415" max="6415" width="18.85546875" style="65" customWidth="1"/>
    <col min="6416" max="6416" width="10.28515625" style="65" customWidth="1"/>
    <col min="6417" max="6417" width="11.42578125" style="65"/>
    <col min="6418" max="6418" width="12.140625" style="65" customWidth="1"/>
    <col min="6419" max="6419" width="10.5703125" style="65" customWidth="1"/>
    <col min="6420" max="6420" width="12.42578125" style="65" customWidth="1"/>
    <col min="6421" max="6421" width="15.140625" style="65" customWidth="1"/>
    <col min="6422" max="6422" width="13.5703125" style="65" customWidth="1"/>
    <col min="6423" max="6423" width="13.140625" style="65" customWidth="1"/>
    <col min="6424" max="6424" width="15.7109375" style="65" customWidth="1"/>
    <col min="6425" max="6425" width="37.5703125" style="65" customWidth="1"/>
    <col min="6426" max="6647" width="11.42578125" style="65"/>
    <col min="6648" max="6648" width="10.5703125" style="65" customWidth="1"/>
    <col min="6649" max="6649" width="4.85546875" style="65" customWidth="1"/>
    <col min="6650" max="6650" width="32.42578125" style="65" customWidth="1"/>
    <col min="6651" max="6651" width="9.85546875" style="65" customWidth="1"/>
    <col min="6652" max="6652" width="10.140625" style="65" customWidth="1"/>
    <col min="6653" max="6653" width="12.28515625" style="65" customWidth="1"/>
    <col min="6654" max="6654" width="15.42578125" style="65" customWidth="1"/>
    <col min="6655" max="6655" width="11.85546875" style="65" customWidth="1"/>
    <col min="6656" max="6656" width="13.28515625" style="65" customWidth="1"/>
    <col min="6657" max="6657" width="15.28515625" style="65" customWidth="1"/>
    <col min="6658" max="6658" width="11.85546875" style="65" customWidth="1"/>
    <col min="6659" max="6659" width="6.140625" style="65" customWidth="1"/>
    <col min="6660" max="6660" width="11.85546875" style="65" customWidth="1"/>
    <col min="6661" max="6661" width="9.42578125" style="65" customWidth="1"/>
    <col min="6662" max="6662" width="14.7109375" style="65" customWidth="1"/>
    <col min="6663" max="6663" width="11.5703125" style="65" customWidth="1"/>
    <col min="6664" max="6664" width="0.42578125" style="65" customWidth="1"/>
    <col min="6665" max="6665" width="10.5703125" style="65" bestFit="1" customWidth="1"/>
    <col min="6666" max="6666" width="12.28515625" style="65" customWidth="1"/>
    <col min="6667" max="6667" width="12.5703125" style="65" customWidth="1"/>
    <col min="6668" max="6668" width="10.5703125" style="65" customWidth="1"/>
    <col min="6669" max="6669" width="10.140625" style="65" customWidth="1"/>
    <col min="6670" max="6670" width="8.42578125" style="65" customWidth="1"/>
    <col min="6671" max="6671" width="18.85546875" style="65" customWidth="1"/>
    <col min="6672" max="6672" width="10.28515625" style="65" customWidth="1"/>
    <col min="6673" max="6673" width="11.42578125" style="65"/>
    <col min="6674" max="6674" width="12.140625" style="65" customWidth="1"/>
    <col min="6675" max="6675" width="10.5703125" style="65" customWidth="1"/>
    <col min="6676" max="6676" width="12.42578125" style="65" customWidth="1"/>
    <col min="6677" max="6677" width="15.140625" style="65" customWidth="1"/>
    <col min="6678" max="6678" width="13.5703125" style="65" customWidth="1"/>
    <col min="6679" max="6679" width="13.140625" style="65" customWidth="1"/>
    <col min="6680" max="6680" width="15.7109375" style="65" customWidth="1"/>
    <col min="6681" max="6681" width="37.5703125" style="65" customWidth="1"/>
    <col min="6682" max="6903" width="11.42578125" style="65"/>
    <col min="6904" max="6904" width="10.5703125" style="65" customWidth="1"/>
    <col min="6905" max="6905" width="4.85546875" style="65" customWidth="1"/>
    <col min="6906" max="6906" width="32.42578125" style="65" customWidth="1"/>
    <col min="6907" max="6907" width="9.85546875" style="65" customWidth="1"/>
    <col min="6908" max="6908" width="10.140625" style="65" customWidth="1"/>
    <col min="6909" max="6909" width="12.28515625" style="65" customWidth="1"/>
    <col min="6910" max="6910" width="15.42578125" style="65" customWidth="1"/>
    <col min="6911" max="6911" width="11.85546875" style="65" customWidth="1"/>
    <col min="6912" max="6912" width="13.28515625" style="65" customWidth="1"/>
    <col min="6913" max="6913" width="15.28515625" style="65" customWidth="1"/>
    <col min="6914" max="6914" width="11.85546875" style="65" customWidth="1"/>
    <col min="6915" max="6915" width="6.140625" style="65" customWidth="1"/>
    <col min="6916" max="6916" width="11.85546875" style="65" customWidth="1"/>
    <col min="6917" max="6917" width="9.42578125" style="65" customWidth="1"/>
    <col min="6918" max="6918" width="14.7109375" style="65" customWidth="1"/>
    <col min="6919" max="6919" width="11.5703125" style="65" customWidth="1"/>
    <col min="6920" max="6920" width="0.42578125" style="65" customWidth="1"/>
    <col min="6921" max="6921" width="10.5703125" style="65" bestFit="1" customWidth="1"/>
    <col min="6922" max="6922" width="12.28515625" style="65" customWidth="1"/>
    <col min="6923" max="6923" width="12.5703125" style="65" customWidth="1"/>
    <col min="6924" max="6924" width="10.5703125" style="65" customWidth="1"/>
    <col min="6925" max="6925" width="10.140625" style="65" customWidth="1"/>
    <col min="6926" max="6926" width="8.42578125" style="65" customWidth="1"/>
    <col min="6927" max="6927" width="18.85546875" style="65" customWidth="1"/>
    <col min="6928" max="6928" width="10.28515625" style="65" customWidth="1"/>
    <col min="6929" max="6929" width="11.42578125" style="65"/>
    <col min="6930" max="6930" width="12.140625" style="65" customWidth="1"/>
    <col min="6931" max="6931" width="10.5703125" style="65" customWidth="1"/>
    <col min="6932" max="6932" width="12.42578125" style="65" customWidth="1"/>
    <col min="6933" max="6933" width="15.140625" style="65" customWidth="1"/>
    <col min="6934" max="6934" width="13.5703125" style="65" customWidth="1"/>
    <col min="6935" max="6935" width="13.140625" style="65" customWidth="1"/>
    <col min="6936" max="6936" width="15.7109375" style="65" customWidth="1"/>
    <col min="6937" max="6937" width="37.5703125" style="65" customWidth="1"/>
    <col min="6938" max="7159" width="11.42578125" style="65"/>
    <col min="7160" max="7160" width="10.5703125" style="65" customWidth="1"/>
    <col min="7161" max="7161" width="4.85546875" style="65" customWidth="1"/>
    <col min="7162" max="7162" width="32.42578125" style="65" customWidth="1"/>
    <col min="7163" max="7163" width="9.85546875" style="65" customWidth="1"/>
    <col min="7164" max="7164" width="10.140625" style="65" customWidth="1"/>
    <col min="7165" max="7165" width="12.28515625" style="65" customWidth="1"/>
    <col min="7166" max="7166" width="15.42578125" style="65" customWidth="1"/>
    <col min="7167" max="7167" width="11.85546875" style="65" customWidth="1"/>
    <col min="7168" max="7168" width="13.28515625" style="65" customWidth="1"/>
    <col min="7169" max="7169" width="15.28515625" style="65" customWidth="1"/>
    <col min="7170" max="7170" width="11.85546875" style="65" customWidth="1"/>
    <col min="7171" max="7171" width="6.140625" style="65" customWidth="1"/>
    <col min="7172" max="7172" width="11.85546875" style="65" customWidth="1"/>
    <col min="7173" max="7173" width="9.42578125" style="65" customWidth="1"/>
    <col min="7174" max="7174" width="14.7109375" style="65" customWidth="1"/>
    <col min="7175" max="7175" width="11.5703125" style="65" customWidth="1"/>
    <col min="7176" max="7176" width="0.42578125" style="65" customWidth="1"/>
    <col min="7177" max="7177" width="10.5703125" style="65" bestFit="1" customWidth="1"/>
    <col min="7178" max="7178" width="12.28515625" style="65" customWidth="1"/>
    <col min="7179" max="7179" width="12.5703125" style="65" customWidth="1"/>
    <col min="7180" max="7180" width="10.5703125" style="65" customWidth="1"/>
    <col min="7181" max="7181" width="10.140625" style="65" customWidth="1"/>
    <col min="7182" max="7182" width="8.42578125" style="65" customWidth="1"/>
    <col min="7183" max="7183" width="18.85546875" style="65" customWidth="1"/>
    <col min="7184" max="7184" width="10.28515625" style="65" customWidth="1"/>
    <col min="7185" max="7185" width="11.42578125" style="65"/>
    <col min="7186" max="7186" width="12.140625" style="65" customWidth="1"/>
    <col min="7187" max="7187" width="10.5703125" style="65" customWidth="1"/>
    <col min="7188" max="7188" width="12.42578125" style="65" customWidth="1"/>
    <col min="7189" max="7189" width="15.140625" style="65" customWidth="1"/>
    <col min="7190" max="7190" width="13.5703125" style="65" customWidth="1"/>
    <col min="7191" max="7191" width="13.140625" style="65" customWidth="1"/>
    <col min="7192" max="7192" width="15.7109375" style="65" customWidth="1"/>
    <col min="7193" max="7193" width="37.5703125" style="65" customWidth="1"/>
    <col min="7194" max="7415" width="11.42578125" style="65"/>
    <col min="7416" max="7416" width="10.5703125" style="65" customWidth="1"/>
    <col min="7417" max="7417" width="4.85546875" style="65" customWidth="1"/>
    <col min="7418" max="7418" width="32.42578125" style="65" customWidth="1"/>
    <col min="7419" max="7419" width="9.85546875" style="65" customWidth="1"/>
    <col min="7420" max="7420" width="10.140625" style="65" customWidth="1"/>
    <col min="7421" max="7421" width="12.28515625" style="65" customWidth="1"/>
    <col min="7422" max="7422" width="15.42578125" style="65" customWidth="1"/>
    <col min="7423" max="7423" width="11.85546875" style="65" customWidth="1"/>
    <col min="7424" max="7424" width="13.28515625" style="65" customWidth="1"/>
    <col min="7425" max="7425" width="15.28515625" style="65" customWidth="1"/>
    <col min="7426" max="7426" width="11.85546875" style="65" customWidth="1"/>
    <col min="7427" max="7427" width="6.140625" style="65" customWidth="1"/>
    <col min="7428" max="7428" width="11.85546875" style="65" customWidth="1"/>
    <col min="7429" max="7429" width="9.42578125" style="65" customWidth="1"/>
    <col min="7430" max="7430" width="14.7109375" style="65" customWidth="1"/>
    <col min="7431" max="7431" width="11.5703125" style="65" customWidth="1"/>
    <col min="7432" max="7432" width="0.42578125" style="65" customWidth="1"/>
    <col min="7433" max="7433" width="10.5703125" style="65" bestFit="1" customWidth="1"/>
    <col min="7434" max="7434" width="12.28515625" style="65" customWidth="1"/>
    <col min="7435" max="7435" width="12.5703125" style="65" customWidth="1"/>
    <col min="7436" max="7436" width="10.5703125" style="65" customWidth="1"/>
    <col min="7437" max="7437" width="10.140625" style="65" customWidth="1"/>
    <col min="7438" max="7438" width="8.42578125" style="65" customWidth="1"/>
    <col min="7439" max="7439" width="18.85546875" style="65" customWidth="1"/>
    <col min="7440" max="7440" width="10.28515625" style="65" customWidth="1"/>
    <col min="7441" max="7441" width="11.42578125" style="65"/>
    <col min="7442" max="7442" width="12.140625" style="65" customWidth="1"/>
    <col min="7443" max="7443" width="10.5703125" style="65" customWidth="1"/>
    <col min="7444" max="7444" width="12.42578125" style="65" customWidth="1"/>
    <col min="7445" max="7445" width="15.140625" style="65" customWidth="1"/>
    <col min="7446" max="7446" width="13.5703125" style="65" customWidth="1"/>
    <col min="7447" max="7447" width="13.140625" style="65" customWidth="1"/>
    <col min="7448" max="7448" width="15.7109375" style="65" customWidth="1"/>
    <col min="7449" max="7449" width="37.5703125" style="65" customWidth="1"/>
    <col min="7450" max="7671" width="11.42578125" style="65"/>
    <col min="7672" max="7672" width="10.5703125" style="65" customWidth="1"/>
    <col min="7673" max="7673" width="4.85546875" style="65" customWidth="1"/>
    <col min="7674" max="7674" width="32.42578125" style="65" customWidth="1"/>
    <col min="7675" max="7675" width="9.85546875" style="65" customWidth="1"/>
    <col min="7676" max="7676" width="10.140625" style="65" customWidth="1"/>
    <col min="7677" max="7677" width="12.28515625" style="65" customWidth="1"/>
    <col min="7678" max="7678" width="15.42578125" style="65" customWidth="1"/>
    <col min="7679" max="7679" width="11.85546875" style="65" customWidth="1"/>
    <col min="7680" max="7680" width="13.28515625" style="65" customWidth="1"/>
    <col min="7681" max="7681" width="15.28515625" style="65" customWidth="1"/>
    <col min="7682" max="7682" width="11.85546875" style="65" customWidth="1"/>
    <col min="7683" max="7683" width="6.140625" style="65" customWidth="1"/>
    <col min="7684" max="7684" width="11.85546875" style="65" customWidth="1"/>
    <col min="7685" max="7685" width="9.42578125" style="65" customWidth="1"/>
    <col min="7686" max="7686" width="14.7109375" style="65" customWidth="1"/>
    <col min="7687" max="7687" width="11.5703125" style="65" customWidth="1"/>
    <col min="7688" max="7688" width="0.42578125" style="65" customWidth="1"/>
    <col min="7689" max="7689" width="10.5703125" style="65" bestFit="1" customWidth="1"/>
    <col min="7690" max="7690" width="12.28515625" style="65" customWidth="1"/>
    <col min="7691" max="7691" width="12.5703125" style="65" customWidth="1"/>
    <col min="7692" max="7692" width="10.5703125" style="65" customWidth="1"/>
    <col min="7693" max="7693" width="10.140625" style="65" customWidth="1"/>
    <col min="7694" max="7694" width="8.42578125" style="65" customWidth="1"/>
    <col min="7695" max="7695" width="18.85546875" style="65" customWidth="1"/>
    <col min="7696" max="7696" width="10.28515625" style="65" customWidth="1"/>
    <col min="7697" max="7697" width="11.42578125" style="65"/>
    <col min="7698" max="7698" width="12.140625" style="65" customWidth="1"/>
    <col min="7699" max="7699" width="10.5703125" style="65" customWidth="1"/>
    <col min="7700" max="7700" width="12.42578125" style="65" customWidth="1"/>
    <col min="7701" max="7701" width="15.140625" style="65" customWidth="1"/>
    <col min="7702" max="7702" width="13.5703125" style="65" customWidth="1"/>
    <col min="7703" max="7703" width="13.140625" style="65" customWidth="1"/>
    <col min="7704" max="7704" width="15.7109375" style="65" customWidth="1"/>
    <col min="7705" max="7705" width="37.5703125" style="65" customWidth="1"/>
    <col min="7706" max="7927" width="11.42578125" style="65"/>
    <col min="7928" max="7928" width="10.5703125" style="65" customWidth="1"/>
    <col min="7929" max="7929" width="4.85546875" style="65" customWidth="1"/>
    <col min="7930" max="7930" width="32.42578125" style="65" customWidth="1"/>
    <col min="7931" max="7931" width="9.85546875" style="65" customWidth="1"/>
    <col min="7932" max="7932" width="10.140625" style="65" customWidth="1"/>
    <col min="7933" max="7933" width="12.28515625" style="65" customWidth="1"/>
    <col min="7934" max="7934" width="15.42578125" style="65" customWidth="1"/>
    <col min="7935" max="7935" width="11.85546875" style="65" customWidth="1"/>
    <col min="7936" max="7936" width="13.28515625" style="65" customWidth="1"/>
    <col min="7937" max="7937" width="15.28515625" style="65" customWidth="1"/>
    <col min="7938" max="7938" width="11.85546875" style="65" customWidth="1"/>
    <col min="7939" max="7939" width="6.140625" style="65" customWidth="1"/>
    <col min="7940" max="7940" width="11.85546875" style="65" customWidth="1"/>
    <col min="7941" max="7941" width="9.42578125" style="65" customWidth="1"/>
    <col min="7942" max="7942" width="14.7109375" style="65" customWidth="1"/>
    <col min="7943" max="7943" width="11.5703125" style="65" customWidth="1"/>
    <col min="7944" max="7944" width="0.42578125" style="65" customWidth="1"/>
    <col min="7945" max="7945" width="10.5703125" style="65" bestFit="1" customWidth="1"/>
    <col min="7946" max="7946" width="12.28515625" style="65" customWidth="1"/>
    <col min="7947" max="7947" width="12.5703125" style="65" customWidth="1"/>
    <col min="7948" max="7948" width="10.5703125" style="65" customWidth="1"/>
    <col min="7949" max="7949" width="10.140625" style="65" customWidth="1"/>
    <col min="7950" max="7950" width="8.42578125" style="65" customWidth="1"/>
    <col min="7951" max="7951" width="18.85546875" style="65" customWidth="1"/>
    <col min="7952" max="7952" width="10.28515625" style="65" customWidth="1"/>
    <col min="7953" max="7953" width="11.42578125" style="65"/>
    <col min="7954" max="7954" width="12.140625" style="65" customWidth="1"/>
    <col min="7955" max="7955" width="10.5703125" style="65" customWidth="1"/>
    <col min="7956" max="7956" width="12.42578125" style="65" customWidth="1"/>
    <col min="7957" max="7957" width="15.140625" style="65" customWidth="1"/>
    <col min="7958" max="7958" width="13.5703125" style="65" customWidth="1"/>
    <col min="7959" max="7959" width="13.140625" style="65" customWidth="1"/>
    <col min="7960" max="7960" width="15.7109375" style="65" customWidth="1"/>
    <col min="7961" max="7961" width="37.5703125" style="65" customWidth="1"/>
    <col min="7962" max="8183" width="11.42578125" style="65"/>
    <col min="8184" max="8184" width="10.5703125" style="65" customWidth="1"/>
    <col min="8185" max="8185" width="4.85546875" style="65" customWidth="1"/>
    <col min="8186" max="8186" width="32.42578125" style="65" customWidth="1"/>
    <col min="8187" max="8187" width="9.85546875" style="65" customWidth="1"/>
    <col min="8188" max="8188" width="10.140625" style="65" customWidth="1"/>
    <col min="8189" max="8189" width="12.28515625" style="65" customWidth="1"/>
    <col min="8190" max="8190" width="15.42578125" style="65" customWidth="1"/>
    <col min="8191" max="8191" width="11.85546875" style="65" customWidth="1"/>
    <col min="8192" max="8192" width="13.28515625" style="65" customWidth="1"/>
    <col min="8193" max="8193" width="15.28515625" style="65" customWidth="1"/>
    <col min="8194" max="8194" width="11.85546875" style="65" customWidth="1"/>
    <col min="8195" max="8195" width="6.140625" style="65" customWidth="1"/>
    <col min="8196" max="8196" width="11.85546875" style="65" customWidth="1"/>
    <col min="8197" max="8197" width="9.42578125" style="65" customWidth="1"/>
    <col min="8198" max="8198" width="14.7109375" style="65" customWidth="1"/>
    <col min="8199" max="8199" width="11.5703125" style="65" customWidth="1"/>
    <col min="8200" max="8200" width="0.42578125" style="65" customWidth="1"/>
    <col min="8201" max="8201" width="10.5703125" style="65" bestFit="1" customWidth="1"/>
    <col min="8202" max="8202" width="12.28515625" style="65" customWidth="1"/>
    <col min="8203" max="8203" width="12.5703125" style="65" customWidth="1"/>
    <col min="8204" max="8204" width="10.5703125" style="65" customWidth="1"/>
    <col min="8205" max="8205" width="10.140625" style="65" customWidth="1"/>
    <col min="8206" max="8206" width="8.42578125" style="65" customWidth="1"/>
    <col min="8207" max="8207" width="18.85546875" style="65" customWidth="1"/>
    <col min="8208" max="8208" width="10.28515625" style="65" customWidth="1"/>
    <col min="8209" max="8209" width="11.42578125" style="65"/>
    <col min="8210" max="8210" width="12.140625" style="65" customWidth="1"/>
    <col min="8211" max="8211" width="10.5703125" style="65" customWidth="1"/>
    <col min="8212" max="8212" width="12.42578125" style="65" customWidth="1"/>
    <col min="8213" max="8213" width="15.140625" style="65" customWidth="1"/>
    <col min="8214" max="8214" width="13.5703125" style="65" customWidth="1"/>
    <col min="8215" max="8215" width="13.140625" style="65" customWidth="1"/>
    <col min="8216" max="8216" width="15.7109375" style="65" customWidth="1"/>
    <col min="8217" max="8217" width="37.5703125" style="65" customWidth="1"/>
    <col min="8218" max="8439" width="11.42578125" style="65"/>
    <col min="8440" max="8440" width="10.5703125" style="65" customWidth="1"/>
    <col min="8441" max="8441" width="4.85546875" style="65" customWidth="1"/>
    <col min="8442" max="8442" width="32.42578125" style="65" customWidth="1"/>
    <col min="8443" max="8443" width="9.85546875" style="65" customWidth="1"/>
    <col min="8444" max="8444" width="10.140625" style="65" customWidth="1"/>
    <col min="8445" max="8445" width="12.28515625" style="65" customWidth="1"/>
    <col min="8446" max="8446" width="15.42578125" style="65" customWidth="1"/>
    <col min="8447" max="8447" width="11.85546875" style="65" customWidth="1"/>
    <col min="8448" max="8448" width="13.28515625" style="65" customWidth="1"/>
    <col min="8449" max="8449" width="15.28515625" style="65" customWidth="1"/>
    <col min="8450" max="8450" width="11.85546875" style="65" customWidth="1"/>
    <col min="8451" max="8451" width="6.140625" style="65" customWidth="1"/>
    <col min="8452" max="8452" width="11.85546875" style="65" customWidth="1"/>
    <col min="8453" max="8453" width="9.42578125" style="65" customWidth="1"/>
    <col min="8454" max="8454" width="14.7109375" style="65" customWidth="1"/>
    <col min="8455" max="8455" width="11.5703125" style="65" customWidth="1"/>
    <col min="8456" max="8456" width="0.42578125" style="65" customWidth="1"/>
    <col min="8457" max="8457" width="10.5703125" style="65" bestFit="1" customWidth="1"/>
    <col min="8458" max="8458" width="12.28515625" style="65" customWidth="1"/>
    <col min="8459" max="8459" width="12.5703125" style="65" customWidth="1"/>
    <col min="8460" max="8460" width="10.5703125" style="65" customWidth="1"/>
    <col min="8461" max="8461" width="10.140625" style="65" customWidth="1"/>
    <col min="8462" max="8462" width="8.42578125" style="65" customWidth="1"/>
    <col min="8463" max="8463" width="18.85546875" style="65" customWidth="1"/>
    <col min="8464" max="8464" width="10.28515625" style="65" customWidth="1"/>
    <col min="8465" max="8465" width="11.42578125" style="65"/>
    <col min="8466" max="8466" width="12.140625" style="65" customWidth="1"/>
    <col min="8467" max="8467" width="10.5703125" style="65" customWidth="1"/>
    <col min="8468" max="8468" width="12.42578125" style="65" customWidth="1"/>
    <col min="8469" max="8469" width="15.140625" style="65" customWidth="1"/>
    <col min="8470" max="8470" width="13.5703125" style="65" customWidth="1"/>
    <col min="8471" max="8471" width="13.140625" style="65" customWidth="1"/>
    <col min="8472" max="8472" width="15.7109375" style="65" customWidth="1"/>
    <col min="8473" max="8473" width="37.5703125" style="65" customWidth="1"/>
    <col min="8474" max="8695" width="11.42578125" style="65"/>
    <col min="8696" max="8696" width="10.5703125" style="65" customWidth="1"/>
    <col min="8697" max="8697" width="4.85546875" style="65" customWidth="1"/>
    <col min="8698" max="8698" width="32.42578125" style="65" customWidth="1"/>
    <col min="8699" max="8699" width="9.85546875" style="65" customWidth="1"/>
    <col min="8700" max="8700" width="10.140625" style="65" customWidth="1"/>
    <col min="8701" max="8701" width="12.28515625" style="65" customWidth="1"/>
    <col min="8702" max="8702" width="15.42578125" style="65" customWidth="1"/>
    <col min="8703" max="8703" width="11.85546875" style="65" customWidth="1"/>
    <col min="8704" max="8704" width="13.28515625" style="65" customWidth="1"/>
    <col min="8705" max="8705" width="15.28515625" style="65" customWidth="1"/>
    <col min="8706" max="8706" width="11.85546875" style="65" customWidth="1"/>
    <col min="8707" max="8707" width="6.140625" style="65" customWidth="1"/>
    <col min="8708" max="8708" width="11.85546875" style="65" customWidth="1"/>
    <col min="8709" max="8709" width="9.42578125" style="65" customWidth="1"/>
    <col min="8710" max="8710" width="14.7109375" style="65" customWidth="1"/>
    <col min="8711" max="8711" width="11.5703125" style="65" customWidth="1"/>
    <col min="8712" max="8712" width="0.42578125" style="65" customWidth="1"/>
    <col min="8713" max="8713" width="10.5703125" style="65" bestFit="1" customWidth="1"/>
    <col min="8714" max="8714" width="12.28515625" style="65" customWidth="1"/>
    <col min="8715" max="8715" width="12.5703125" style="65" customWidth="1"/>
    <col min="8716" max="8716" width="10.5703125" style="65" customWidth="1"/>
    <col min="8717" max="8717" width="10.140625" style="65" customWidth="1"/>
    <col min="8718" max="8718" width="8.42578125" style="65" customWidth="1"/>
    <col min="8719" max="8719" width="18.85546875" style="65" customWidth="1"/>
    <col min="8720" max="8720" width="10.28515625" style="65" customWidth="1"/>
    <col min="8721" max="8721" width="11.42578125" style="65"/>
    <col min="8722" max="8722" width="12.140625" style="65" customWidth="1"/>
    <col min="8723" max="8723" width="10.5703125" style="65" customWidth="1"/>
    <col min="8724" max="8724" width="12.42578125" style="65" customWidth="1"/>
    <col min="8725" max="8725" width="15.140625" style="65" customWidth="1"/>
    <col min="8726" max="8726" width="13.5703125" style="65" customWidth="1"/>
    <col min="8727" max="8727" width="13.140625" style="65" customWidth="1"/>
    <col min="8728" max="8728" width="15.7109375" style="65" customWidth="1"/>
    <col min="8729" max="8729" width="37.5703125" style="65" customWidth="1"/>
    <col min="8730" max="8951" width="11.42578125" style="65"/>
    <col min="8952" max="8952" width="10.5703125" style="65" customWidth="1"/>
    <col min="8953" max="8953" width="4.85546875" style="65" customWidth="1"/>
    <col min="8954" max="8954" width="32.42578125" style="65" customWidth="1"/>
    <col min="8955" max="8955" width="9.85546875" style="65" customWidth="1"/>
    <col min="8956" max="8956" width="10.140625" style="65" customWidth="1"/>
    <col min="8957" max="8957" width="12.28515625" style="65" customWidth="1"/>
    <col min="8958" max="8958" width="15.42578125" style="65" customWidth="1"/>
    <col min="8959" max="8959" width="11.85546875" style="65" customWidth="1"/>
    <col min="8960" max="8960" width="13.28515625" style="65" customWidth="1"/>
    <col min="8961" max="8961" width="15.28515625" style="65" customWidth="1"/>
    <col min="8962" max="8962" width="11.85546875" style="65" customWidth="1"/>
    <col min="8963" max="8963" width="6.140625" style="65" customWidth="1"/>
    <col min="8964" max="8964" width="11.85546875" style="65" customWidth="1"/>
    <col min="8965" max="8965" width="9.42578125" style="65" customWidth="1"/>
    <col min="8966" max="8966" width="14.7109375" style="65" customWidth="1"/>
    <col min="8967" max="8967" width="11.5703125" style="65" customWidth="1"/>
    <col min="8968" max="8968" width="0.42578125" style="65" customWidth="1"/>
    <col min="8969" max="8969" width="10.5703125" style="65" bestFit="1" customWidth="1"/>
    <col min="8970" max="8970" width="12.28515625" style="65" customWidth="1"/>
    <col min="8971" max="8971" width="12.5703125" style="65" customWidth="1"/>
    <col min="8972" max="8972" width="10.5703125" style="65" customWidth="1"/>
    <col min="8973" max="8973" width="10.140625" style="65" customWidth="1"/>
    <col min="8974" max="8974" width="8.42578125" style="65" customWidth="1"/>
    <col min="8975" max="8975" width="18.85546875" style="65" customWidth="1"/>
    <col min="8976" max="8976" width="10.28515625" style="65" customWidth="1"/>
    <col min="8977" max="8977" width="11.42578125" style="65"/>
    <col min="8978" max="8978" width="12.140625" style="65" customWidth="1"/>
    <col min="8979" max="8979" width="10.5703125" style="65" customWidth="1"/>
    <col min="8980" max="8980" width="12.42578125" style="65" customWidth="1"/>
    <col min="8981" max="8981" width="15.140625" style="65" customWidth="1"/>
    <col min="8982" max="8982" width="13.5703125" style="65" customWidth="1"/>
    <col min="8983" max="8983" width="13.140625" style="65" customWidth="1"/>
    <col min="8984" max="8984" width="15.7109375" style="65" customWidth="1"/>
    <col min="8985" max="8985" width="37.5703125" style="65" customWidth="1"/>
    <col min="8986" max="9207" width="11.42578125" style="65"/>
    <col min="9208" max="9208" width="10.5703125" style="65" customWidth="1"/>
    <col min="9209" max="9209" width="4.85546875" style="65" customWidth="1"/>
    <col min="9210" max="9210" width="32.42578125" style="65" customWidth="1"/>
    <col min="9211" max="9211" width="9.85546875" style="65" customWidth="1"/>
    <col min="9212" max="9212" width="10.140625" style="65" customWidth="1"/>
    <col min="9213" max="9213" width="12.28515625" style="65" customWidth="1"/>
    <col min="9214" max="9214" width="15.42578125" style="65" customWidth="1"/>
    <col min="9215" max="9215" width="11.85546875" style="65" customWidth="1"/>
    <col min="9216" max="9216" width="13.28515625" style="65" customWidth="1"/>
    <col min="9217" max="9217" width="15.28515625" style="65" customWidth="1"/>
    <col min="9218" max="9218" width="11.85546875" style="65" customWidth="1"/>
    <col min="9219" max="9219" width="6.140625" style="65" customWidth="1"/>
    <col min="9220" max="9220" width="11.85546875" style="65" customWidth="1"/>
    <col min="9221" max="9221" width="9.42578125" style="65" customWidth="1"/>
    <col min="9222" max="9222" width="14.7109375" style="65" customWidth="1"/>
    <col min="9223" max="9223" width="11.5703125" style="65" customWidth="1"/>
    <col min="9224" max="9224" width="0.42578125" style="65" customWidth="1"/>
    <col min="9225" max="9225" width="10.5703125" style="65" bestFit="1" customWidth="1"/>
    <col min="9226" max="9226" width="12.28515625" style="65" customWidth="1"/>
    <col min="9227" max="9227" width="12.5703125" style="65" customWidth="1"/>
    <col min="9228" max="9228" width="10.5703125" style="65" customWidth="1"/>
    <col min="9229" max="9229" width="10.140625" style="65" customWidth="1"/>
    <col min="9230" max="9230" width="8.42578125" style="65" customWidth="1"/>
    <col min="9231" max="9231" width="18.85546875" style="65" customWidth="1"/>
    <col min="9232" max="9232" width="10.28515625" style="65" customWidth="1"/>
    <col min="9233" max="9233" width="11.42578125" style="65"/>
    <col min="9234" max="9234" width="12.140625" style="65" customWidth="1"/>
    <col min="9235" max="9235" width="10.5703125" style="65" customWidth="1"/>
    <col min="9236" max="9236" width="12.42578125" style="65" customWidth="1"/>
    <col min="9237" max="9237" width="15.140625" style="65" customWidth="1"/>
    <col min="9238" max="9238" width="13.5703125" style="65" customWidth="1"/>
    <col min="9239" max="9239" width="13.140625" style="65" customWidth="1"/>
    <col min="9240" max="9240" width="15.7109375" style="65" customWidth="1"/>
    <col min="9241" max="9241" width="37.5703125" style="65" customWidth="1"/>
    <col min="9242" max="9463" width="11.42578125" style="65"/>
    <col min="9464" max="9464" width="10.5703125" style="65" customWidth="1"/>
    <col min="9465" max="9465" width="4.85546875" style="65" customWidth="1"/>
    <col min="9466" max="9466" width="32.42578125" style="65" customWidth="1"/>
    <col min="9467" max="9467" width="9.85546875" style="65" customWidth="1"/>
    <col min="9468" max="9468" width="10.140625" style="65" customWidth="1"/>
    <col min="9469" max="9469" width="12.28515625" style="65" customWidth="1"/>
    <col min="9470" max="9470" width="15.42578125" style="65" customWidth="1"/>
    <col min="9471" max="9471" width="11.85546875" style="65" customWidth="1"/>
    <col min="9472" max="9472" width="13.28515625" style="65" customWidth="1"/>
    <col min="9473" max="9473" width="15.28515625" style="65" customWidth="1"/>
    <col min="9474" max="9474" width="11.85546875" style="65" customWidth="1"/>
    <col min="9475" max="9475" width="6.140625" style="65" customWidth="1"/>
    <col min="9476" max="9476" width="11.85546875" style="65" customWidth="1"/>
    <col min="9477" max="9477" width="9.42578125" style="65" customWidth="1"/>
    <col min="9478" max="9478" width="14.7109375" style="65" customWidth="1"/>
    <col min="9479" max="9479" width="11.5703125" style="65" customWidth="1"/>
    <col min="9480" max="9480" width="0.42578125" style="65" customWidth="1"/>
    <col min="9481" max="9481" width="10.5703125" style="65" bestFit="1" customWidth="1"/>
    <col min="9482" max="9482" width="12.28515625" style="65" customWidth="1"/>
    <col min="9483" max="9483" width="12.5703125" style="65" customWidth="1"/>
    <col min="9484" max="9484" width="10.5703125" style="65" customWidth="1"/>
    <col min="9485" max="9485" width="10.140625" style="65" customWidth="1"/>
    <col min="9486" max="9486" width="8.42578125" style="65" customWidth="1"/>
    <col min="9487" max="9487" width="18.85546875" style="65" customWidth="1"/>
    <col min="9488" max="9488" width="10.28515625" style="65" customWidth="1"/>
    <col min="9489" max="9489" width="11.42578125" style="65"/>
    <col min="9490" max="9490" width="12.140625" style="65" customWidth="1"/>
    <col min="9491" max="9491" width="10.5703125" style="65" customWidth="1"/>
    <col min="9492" max="9492" width="12.42578125" style="65" customWidth="1"/>
    <col min="9493" max="9493" width="15.140625" style="65" customWidth="1"/>
    <col min="9494" max="9494" width="13.5703125" style="65" customWidth="1"/>
    <col min="9495" max="9495" width="13.140625" style="65" customWidth="1"/>
    <col min="9496" max="9496" width="15.7109375" style="65" customWidth="1"/>
    <col min="9497" max="9497" width="37.5703125" style="65" customWidth="1"/>
    <col min="9498" max="9719" width="11.42578125" style="65"/>
    <col min="9720" max="9720" width="10.5703125" style="65" customWidth="1"/>
    <col min="9721" max="9721" width="4.85546875" style="65" customWidth="1"/>
    <col min="9722" max="9722" width="32.42578125" style="65" customWidth="1"/>
    <col min="9723" max="9723" width="9.85546875" style="65" customWidth="1"/>
    <col min="9724" max="9724" width="10.140625" style="65" customWidth="1"/>
    <col min="9725" max="9725" width="12.28515625" style="65" customWidth="1"/>
    <col min="9726" max="9726" width="15.42578125" style="65" customWidth="1"/>
    <col min="9727" max="9727" width="11.85546875" style="65" customWidth="1"/>
    <col min="9728" max="9728" width="13.28515625" style="65" customWidth="1"/>
    <col min="9729" max="9729" width="15.28515625" style="65" customWidth="1"/>
    <col min="9730" max="9730" width="11.85546875" style="65" customWidth="1"/>
    <col min="9731" max="9731" width="6.140625" style="65" customWidth="1"/>
    <col min="9732" max="9732" width="11.85546875" style="65" customWidth="1"/>
    <col min="9733" max="9733" width="9.42578125" style="65" customWidth="1"/>
    <col min="9734" max="9734" width="14.7109375" style="65" customWidth="1"/>
    <col min="9735" max="9735" width="11.5703125" style="65" customWidth="1"/>
    <col min="9736" max="9736" width="0.42578125" style="65" customWidth="1"/>
    <col min="9737" max="9737" width="10.5703125" style="65" bestFit="1" customWidth="1"/>
    <col min="9738" max="9738" width="12.28515625" style="65" customWidth="1"/>
    <col min="9739" max="9739" width="12.5703125" style="65" customWidth="1"/>
    <col min="9740" max="9740" width="10.5703125" style="65" customWidth="1"/>
    <col min="9741" max="9741" width="10.140625" style="65" customWidth="1"/>
    <col min="9742" max="9742" width="8.42578125" style="65" customWidth="1"/>
    <col min="9743" max="9743" width="18.85546875" style="65" customWidth="1"/>
    <col min="9744" max="9744" width="10.28515625" style="65" customWidth="1"/>
    <col min="9745" max="9745" width="11.42578125" style="65"/>
    <col min="9746" max="9746" width="12.140625" style="65" customWidth="1"/>
    <col min="9747" max="9747" width="10.5703125" style="65" customWidth="1"/>
    <col min="9748" max="9748" width="12.42578125" style="65" customWidth="1"/>
    <col min="9749" max="9749" width="15.140625" style="65" customWidth="1"/>
    <col min="9750" max="9750" width="13.5703125" style="65" customWidth="1"/>
    <col min="9751" max="9751" width="13.140625" style="65" customWidth="1"/>
    <col min="9752" max="9752" width="15.7109375" style="65" customWidth="1"/>
    <col min="9753" max="9753" width="37.5703125" style="65" customWidth="1"/>
    <col min="9754" max="9975" width="11.42578125" style="65"/>
    <col min="9976" max="9976" width="10.5703125" style="65" customWidth="1"/>
    <col min="9977" max="9977" width="4.85546875" style="65" customWidth="1"/>
    <col min="9978" max="9978" width="32.42578125" style="65" customWidth="1"/>
    <col min="9979" max="9979" width="9.85546875" style="65" customWidth="1"/>
    <col min="9980" max="9980" width="10.140625" style="65" customWidth="1"/>
    <col min="9981" max="9981" width="12.28515625" style="65" customWidth="1"/>
    <col min="9982" max="9982" width="15.42578125" style="65" customWidth="1"/>
    <col min="9983" max="9983" width="11.85546875" style="65" customWidth="1"/>
    <col min="9984" max="9984" width="13.28515625" style="65" customWidth="1"/>
    <col min="9985" max="9985" width="15.28515625" style="65" customWidth="1"/>
    <col min="9986" max="9986" width="11.85546875" style="65" customWidth="1"/>
    <col min="9987" max="9987" width="6.140625" style="65" customWidth="1"/>
    <col min="9988" max="9988" width="11.85546875" style="65" customWidth="1"/>
    <col min="9989" max="9989" width="9.42578125" style="65" customWidth="1"/>
    <col min="9990" max="9990" width="14.7109375" style="65" customWidth="1"/>
    <col min="9991" max="9991" width="11.5703125" style="65" customWidth="1"/>
    <col min="9992" max="9992" width="0.42578125" style="65" customWidth="1"/>
    <col min="9993" max="9993" width="10.5703125" style="65" bestFit="1" customWidth="1"/>
    <col min="9994" max="9994" width="12.28515625" style="65" customWidth="1"/>
    <col min="9995" max="9995" width="12.5703125" style="65" customWidth="1"/>
    <col min="9996" max="9996" width="10.5703125" style="65" customWidth="1"/>
    <col min="9997" max="9997" width="10.140625" style="65" customWidth="1"/>
    <col min="9998" max="9998" width="8.42578125" style="65" customWidth="1"/>
    <col min="9999" max="9999" width="18.85546875" style="65" customWidth="1"/>
    <col min="10000" max="10000" width="10.28515625" style="65" customWidth="1"/>
    <col min="10001" max="10001" width="11.42578125" style="65"/>
    <col min="10002" max="10002" width="12.140625" style="65" customWidth="1"/>
    <col min="10003" max="10003" width="10.5703125" style="65" customWidth="1"/>
    <col min="10004" max="10004" width="12.42578125" style="65" customWidth="1"/>
    <col min="10005" max="10005" width="15.140625" style="65" customWidth="1"/>
    <col min="10006" max="10006" width="13.5703125" style="65" customWidth="1"/>
    <col min="10007" max="10007" width="13.140625" style="65" customWidth="1"/>
    <col min="10008" max="10008" width="15.7109375" style="65" customWidth="1"/>
    <col min="10009" max="10009" width="37.5703125" style="65" customWidth="1"/>
    <col min="10010" max="10231" width="11.42578125" style="65"/>
    <col min="10232" max="10232" width="10.5703125" style="65" customWidth="1"/>
    <col min="10233" max="10233" width="4.85546875" style="65" customWidth="1"/>
    <col min="10234" max="10234" width="32.42578125" style="65" customWidth="1"/>
    <col min="10235" max="10235" width="9.85546875" style="65" customWidth="1"/>
    <col min="10236" max="10236" width="10.140625" style="65" customWidth="1"/>
    <col min="10237" max="10237" width="12.28515625" style="65" customWidth="1"/>
    <col min="10238" max="10238" width="15.42578125" style="65" customWidth="1"/>
    <col min="10239" max="10239" width="11.85546875" style="65" customWidth="1"/>
    <col min="10240" max="10240" width="13.28515625" style="65" customWidth="1"/>
    <col min="10241" max="10241" width="15.28515625" style="65" customWidth="1"/>
    <col min="10242" max="10242" width="11.85546875" style="65" customWidth="1"/>
    <col min="10243" max="10243" width="6.140625" style="65" customWidth="1"/>
    <col min="10244" max="10244" width="11.85546875" style="65" customWidth="1"/>
    <col min="10245" max="10245" width="9.42578125" style="65" customWidth="1"/>
    <col min="10246" max="10246" width="14.7109375" style="65" customWidth="1"/>
    <col min="10247" max="10247" width="11.5703125" style="65" customWidth="1"/>
    <col min="10248" max="10248" width="0.42578125" style="65" customWidth="1"/>
    <col min="10249" max="10249" width="10.5703125" style="65" bestFit="1" customWidth="1"/>
    <col min="10250" max="10250" width="12.28515625" style="65" customWidth="1"/>
    <col min="10251" max="10251" width="12.5703125" style="65" customWidth="1"/>
    <col min="10252" max="10252" width="10.5703125" style="65" customWidth="1"/>
    <col min="10253" max="10253" width="10.140625" style="65" customWidth="1"/>
    <col min="10254" max="10254" width="8.42578125" style="65" customWidth="1"/>
    <col min="10255" max="10255" width="18.85546875" style="65" customWidth="1"/>
    <col min="10256" max="10256" width="10.28515625" style="65" customWidth="1"/>
    <col min="10257" max="10257" width="11.42578125" style="65"/>
    <col min="10258" max="10258" width="12.140625" style="65" customWidth="1"/>
    <col min="10259" max="10259" width="10.5703125" style="65" customWidth="1"/>
    <col min="10260" max="10260" width="12.42578125" style="65" customWidth="1"/>
    <col min="10261" max="10261" width="15.140625" style="65" customWidth="1"/>
    <col min="10262" max="10262" width="13.5703125" style="65" customWidth="1"/>
    <col min="10263" max="10263" width="13.140625" style="65" customWidth="1"/>
    <col min="10264" max="10264" width="15.7109375" style="65" customWidth="1"/>
    <col min="10265" max="10265" width="37.5703125" style="65" customWidth="1"/>
    <col min="10266" max="10487" width="11.42578125" style="65"/>
    <col min="10488" max="10488" width="10.5703125" style="65" customWidth="1"/>
    <col min="10489" max="10489" width="4.85546875" style="65" customWidth="1"/>
    <col min="10490" max="10490" width="32.42578125" style="65" customWidth="1"/>
    <col min="10491" max="10491" width="9.85546875" style="65" customWidth="1"/>
    <col min="10492" max="10492" width="10.140625" style="65" customWidth="1"/>
    <col min="10493" max="10493" width="12.28515625" style="65" customWidth="1"/>
    <col min="10494" max="10494" width="15.42578125" style="65" customWidth="1"/>
    <col min="10495" max="10495" width="11.85546875" style="65" customWidth="1"/>
    <col min="10496" max="10496" width="13.28515625" style="65" customWidth="1"/>
    <col min="10497" max="10497" width="15.28515625" style="65" customWidth="1"/>
    <col min="10498" max="10498" width="11.85546875" style="65" customWidth="1"/>
    <col min="10499" max="10499" width="6.140625" style="65" customWidth="1"/>
    <col min="10500" max="10500" width="11.85546875" style="65" customWidth="1"/>
    <col min="10501" max="10501" width="9.42578125" style="65" customWidth="1"/>
    <col min="10502" max="10502" width="14.7109375" style="65" customWidth="1"/>
    <col min="10503" max="10503" width="11.5703125" style="65" customWidth="1"/>
    <col min="10504" max="10504" width="0.42578125" style="65" customWidth="1"/>
    <col min="10505" max="10505" width="10.5703125" style="65" bestFit="1" customWidth="1"/>
    <col min="10506" max="10506" width="12.28515625" style="65" customWidth="1"/>
    <col min="10507" max="10507" width="12.5703125" style="65" customWidth="1"/>
    <col min="10508" max="10508" width="10.5703125" style="65" customWidth="1"/>
    <col min="10509" max="10509" width="10.140625" style="65" customWidth="1"/>
    <col min="10510" max="10510" width="8.42578125" style="65" customWidth="1"/>
    <col min="10511" max="10511" width="18.85546875" style="65" customWidth="1"/>
    <col min="10512" max="10512" width="10.28515625" style="65" customWidth="1"/>
    <col min="10513" max="10513" width="11.42578125" style="65"/>
    <col min="10514" max="10514" width="12.140625" style="65" customWidth="1"/>
    <col min="10515" max="10515" width="10.5703125" style="65" customWidth="1"/>
    <col min="10516" max="10516" width="12.42578125" style="65" customWidth="1"/>
    <col min="10517" max="10517" width="15.140625" style="65" customWidth="1"/>
    <col min="10518" max="10518" width="13.5703125" style="65" customWidth="1"/>
    <col min="10519" max="10519" width="13.140625" style="65" customWidth="1"/>
    <col min="10520" max="10520" width="15.7109375" style="65" customWidth="1"/>
    <col min="10521" max="10521" width="37.5703125" style="65" customWidth="1"/>
    <col min="10522" max="10743" width="11.42578125" style="65"/>
    <col min="10744" max="10744" width="10.5703125" style="65" customWidth="1"/>
    <col min="10745" max="10745" width="4.85546875" style="65" customWidth="1"/>
    <col min="10746" max="10746" width="32.42578125" style="65" customWidth="1"/>
    <col min="10747" max="10747" width="9.85546875" style="65" customWidth="1"/>
    <col min="10748" max="10748" width="10.140625" style="65" customWidth="1"/>
    <col min="10749" max="10749" width="12.28515625" style="65" customWidth="1"/>
    <col min="10750" max="10750" width="15.42578125" style="65" customWidth="1"/>
    <col min="10751" max="10751" width="11.85546875" style="65" customWidth="1"/>
    <col min="10752" max="10752" width="13.28515625" style="65" customWidth="1"/>
    <col min="10753" max="10753" width="15.28515625" style="65" customWidth="1"/>
    <col min="10754" max="10754" width="11.85546875" style="65" customWidth="1"/>
    <col min="10755" max="10755" width="6.140625" style="65" customWidth="1"/>
    <col min="10756" max="10756" width="11.85546875" style="65" customWidth="1"/>
    <col min="10757" max="10757" width="9.42578125" style="65" customWidth="1"/>
    <col min="10758" max="10758" width="14.7109375" style="65" customWidth="1"/>
    <col min="10759" max="10759" width="11.5703125" style="65" customWidth="1"/>
    <col min="10760" max="10760" width="0.42578125" style="65" customWidth="1"/>
    <col min="10761" max="10761" width="10.5703125" style="65" bestFit="1" customWidth="1"/>
    <col min="10762" max="10762" width="12.28515625" style="65" customWidth="1"/>
    <col min="10763" max="10763" width="12.5703125" style="65" customWidth="1"/>
    <col min="10764" max="10764" width="10.5703125" style="65" customWidth="1"/>
    <col min="10765" max="10765" width="10.140625" style="65" customWidth="1"/>
    <col min="10766" max="10766" width="8.42578125" style="65" customWidth="1"/>
    <col min="10767" max="10767" width="18.85546875" style="65" customWidth="1"/>
    <col min="10768" max="10768" width="10.28515625" style="65" customWidth="1"/>
    <col min="10769" max="10769" width="11.42578125" style="65"/>
    <col min="10770" max="10770" width="12.140625" style="65" customWidth="1"/>
    <col min="10771" max="10771" width="10.5703125" style="65" customWidth="1"/>
    <col min="10772" max="10772" width="12.42578125" style="65" customWidth="1"/>
    <col min="10773" max="10773" width="15.140625" style="65" customWidth="1"/>
    <col min="10774" max="10774" width="13.5703125" style="65" customWidth="1"/>
    <col min="10775" max="10775" width="13.140625" style="65" customWidth="1"/>
    <col min="10776" max="10776" width="15.7109375" style="65" customWidth="1"/>
    <col min="10777" max="10777" width="37.5703125" style="65" customWidth="1"/>
    <col min="10778" max="10999" width="11.42578125" style="65"/>
    <col min="11000" max="11000" width="10.5703125" style="65" customWidth="1"/>
    <col min="11001" max="11001" width="4.85546875" style="65" customWidth="1"/>
    <col min="11002" max="11002" width="32.42578125" style="65" customWidth="1"/>
    <col min="11003" max="11003" width="9.85546875" style="65" customWidth="1"/>
    <col min="11004" max="11004" width="10.140625" style="65" customWidth="1"/>
    <col min="11005" max="11005" width="12.28515625" style="65" customWidth="1"/>
    <col min="11006" max="11006" width="15.42578125" style="65" customWidth="1"/>
    <col min="11007" max="11007" width="11.85546875" style="65" customWidth="1"/>
    <col min="11008" max="11008" width="13.28515625" style="65" customWidth="1"/>
    <col min="11009" max="11009" width="15.28515625" style="65" customWidth="1"/>
    <col min="11010" max="11010" width="11.85546875" style="65" customWidth="1"/>
    <col min="11011" max="11011" width="6.140625" style="65" customWidth="1"/>
    <col min="11012" max="11012" width="11.85546875" style="65" customWidth="1"/>
    <col min="11013" max="11013" width="9.42578125" style="65" customWidth="1"/>
    <col min="11014" max="11014" width="14.7109375" style="65" customWidth="1"/>
    <col min="11015" max="11015" width="11.5703125" style="65" customWidth="1"/>
    <col min="11016" max="11016" width="0.42578125" style="65" customWidth="1"/>
    <col min="11017" max="11017" width="10.5703125" style="65" bestFit="1" customWidth="1"/>
    <col min="11018" max="11018" width="12.28515625" style="65" customWidth="1"/>
    <col min="11019" max="11019" width="12.5703125" style="65" customWidth="1"/>
    <col min="11020" max="11020" width="10.5703125" style="65" customWidth="1"/>
    <col min="11021" max="11021" width="10.140625" style="65" customWidth="1"/>
    <col min="11022" max="11022" width="8.42578125" style="65" customWidth="1"/>
    <col min="11023" max="11023" width="18.85546875" style="65" customWidth="1"/>
    <col min="11024" max="11024" width="10.28515625" style="65" customWidth="1"/>
    <col min="11025" max="11025" width="11.42578125" style="65"/>
    <col min="11026" max="11026" width="12.140625" style="65" customWidth="1"/>
    <col min="11027" max="11027" width="10.5703125" style="65" customWidth="1"/>
    <col min="11028" max="11028" width="12.42578125" style="65" customWidth="1"/>
    <col min="11029" max="11029" width="15.140625" style="65" customWidth="1"/>
    <col min="11030" max="11030" width="13.5703125" style="65" customWidth="1"/>
    <col min="11031" max="11031" width="13.140625" style="65" customWidth="1"/>
    <col min="11032" max="11032" width="15.7109375" style="65" customWidth="1"/>
    <col min="11033" max="11033" width="37.5703125" style="65" customWidth="1"/>
    <col min="11034" max="11255" width="11.42578125" style="65"/>
    <col min="11256" max="11256" width="10.5703125" style="65" customWidth="1"/>
    <col min="11257" max="11257" width="4.85546875" style="65" customWidth="1"/>
    <col min="11258" max="11258" width="32.42578125" style="65" customWidth="1"/>
    <col min="11259" max="11259" width="9.85546875" style="65" customWidth="1"/>
    <col min="11260" max="11260" width="10.140625" style="65" customWidth="1"/>
    <col min="11261" max="11261" width="12.28515625" style="65" customWidth="1"/>
    <col min="11262" max="11262" width="15.42578125" style="65" customWidth="1"/>
    <col min="11263" max="11263" width="11.85546875" style="65" customWidth="1"/>
    <col min="11264" max="11264" width="13.28515625" style="65" customWidth="1"/>
    <col min="11265" max="11265" width="15.28515625" style="65" customWidth="1"/>
    <col min="11266" max="11266" width="11.85546875" style="65" customWidth="1"/>
    <col min="11267" max="11267" width="6.140625" style="65" customWidth="1"/>
    <col min="11268" max="11268" width="11.85546875" style="65" customWidth="1"/>
    <col min="11269" max="11269" width="9.42578125" style="65" customWidth="1"/>
    <col min="11270" max="11270" width="14.7109375" style="65" customWidth="1"/>
    <col min="11271" max="11271" width="11.5703125" style="65" customWidth="1"/>
    <col min="11272" max="11272" width="0.42578125" style="65" customWidth="1"/>
    <col min="11273" max="11273" width="10.5703125" style="65" bestFit="1" customWidth="1"/>
    <col min="11274" max="11274" width="12.28515625" style="65" customWidth="1"/>
    <col min="11275" max="11275" width="12.5703125" style="65" customWidth="1"/>
    <col min="11276" max="11276" width="10.5703125" style="65" customWidth="1"/>
    <col min="11277" max="11277" width="10.140625" style="65" customWidth="1"/>
    <col min="11278" max="11278" width="8.42578125" style="65" customWidth="1"/>
    <col min="11279" max="11279" width="18.85546875" style="65" customWidth="1"/>
    <col min="11280" max="11280" width="10.28515625" style="65" customWidth="1"/>
    <col min="11281" max="11281" width="11.42578125" style="65"/>
    <col min="11282" max="11282" width="12.140625" style="65" customWidth="1"/>
    <col min="11283" max="11283" width="10.5703125" style="65" customWidth="1"/>
    <col min="11284" max="11284" width="12.42578125" style="65" customWidth="1"/>
    <col min="11285" max="11285" width="15.140625" style="65" customWidth="1"/>
    <col min="11286" max="11286" width="13.5703125" style="65" customWidth="1"/>
    <col min="11287" max="11287" width="13.140625" style="65" customWidth="1"/>
    <col min="11288" max="11288" width="15.7109375" style="65" customWidth="1"/>
    <col min="11289" max="11289" width="37.5703125" style="65" customWidth="1"/>
    <col min="11290" max="11511" width="11.42578125" style="65"/>
    <col min="11512" max="11512" width="10.5703125" style="65" customWidth="1"/>
    <col min="11513" max="11513" width="4.85546875" style="65" customWidth="1"/>
    <col min="11514" max="11514" width="32.42578125" style="65" customWidth="1"/>
    <col min="11515" max="11515" width="9.85546875" style="65" customWidth="1"/>
    <col min="11516" max="11516" width="10.140625" style="65" customWidth="1"/>
    <col min="11517" max="11517" width="12.28515625" style="65" customWidth="1"/>
    <col min="11518" max="11518" width="15.42578125" style="65" customWidth="1"/>
    <col min="11519" max="11519" width="11.85546875" style="65" customWidth="1"/>
    <col min="11520" max="11520" width="13.28515625" style="65" customWidth="1"/>
    <col min="11521" max="11521" width="15.28515625" style="65" customWidth="1"/>
    <col min="11522" max="11522" width="11.85546875" style="65" customWidth="1"/>
    <col min="11523" max="11523" width="6.140625" style="65" customWidth="1"/>
    <col min="11524" max="11524" width="11.85546875" style="65" customWidth="1"/>
    <col min="11525" max="11525" width="9.42578125" style="65" customWidth="1"/>
    <col min="11526" max="11526" width="14.7109375" style="65" customWidth="1"/>
    <col min="11527" max="11527" width="11.5703125" style="65" customWidth="1"/>
    <col min="11528" max="11528" width="0.42578125" style="65" customWidth="1"/>
    <col min="11529" max="11529" width="10.5703125" style="65" bestFit="1" customWidth="1"/>
    <col min="11530" max="11530" width="12.28515625" style="65" customWidth="1"/>
    <col min="11531" max="11531" width="12.5703125" style="65" customWidth="1"/>
    <col min="11532" max="11532" width="10.5703125" style="65" customWidth="1"/>
    <col min="11533" max="11533" width="10.140625" style="65" customWidth="1"/>
    <col min="11534" max="11534" width="8.42578125" style="65" customWidth="1"/>
    <col min="11535" max="11535" width="18.85546875" style="65" customWidth="1"/>
    <col min="11536" max="11536" width="10.28515625" style="65" customWidth="1"/>
    <col min="11537" max="11537" width="11.42578125" style="65"/>
    <col min="11538" max="11538" width="12.140625" style="65" customWidth="1"/>
    <col min="11539" max="11539" width="10.5703125" style="65" customWidth="1"/>
    <col min="11540" max="11540" width="12.42578125" style="65" customWidth="1"/>
    <col min="11541" max="11541" width="15.140625" style="65" customWidth="1"/>
    <col min="11542" max="11542" width="13.5703125" style="65" customWidth="1"/>
    <col min="11543" max="11543" width="13.140625" style="65" customWidth="1"/>
    <col min="11544" max="11544" width="15.7109375" style="65" customWidth="1"/>
    <col min="11545" max="11545" width="37.5703125" style="65" customWidth="1"/>
    <col min="11546" max="11767" width="11.42578125" style="65"/>
    <col min="11768" max="11768" width="10.5703125" style="65" customWidth="1"/>
    <col min="11769" max="11769" width="4.85546875" style="65" customWidth="1"/>
    <col min="11770" max="11770" width="32.42578125" style="65" customWidth="1"/>
    <col min="11771" max="11771" width="9.85546875" style="65" customWidth="1"/>
    <col min="11772" max="11772" width="10.140625" style="65" customWidth="1"/>
    <col min="11773" max="11773" width="12.28515625" style="65" customWidth="1"/>
    <col min="11774" max="11774" width="15.42578125" style="65" customWidth="1"/>
    <col min="11775" max="11775" width="11.85546875" style="65" customWidth="1"/>
    <col min="11776" max="11776" width="13.28515625" style="65" customWidth="1"/>
    <col min="11777" max="11777" width="15.28515625" style="65" customWidth="1"/>
    <col min="11778" max="11778" width="11.85546875" style="65" customWidth="1"/>
    <col min="11779" max="11779" width="6.140625" style="65" customWidth="1"/>
    <col min="11780" max="11780" width="11.85546875" style="65" customWidth="1"/>
    <col min="11781" max="11781" width="9.42578125" style="65" customWidth="1"/>
    <col min="11782" max="11782" width="14.7109375" style="65" customWidth="1"/>
    <col min="11783" max="11783" width="11.5703125" style="65" customWidth="1"/>
    <col min="11784" max="11784" width="0.42578125" style="65" customWidth="1"/>
    <col min="11785" max="11785" width="10.5703125" style="65" bestFit="1" customWidth="1"/>
    <col min="11786" max="11786" width="12.28515625" style="65" customWidth="1"/>
    <col min="11787" max="11787" width="12.5703125" style="65" customWidth="1"/>
    <col min="11788" max="11788" width="10.5703125" style="65" customWidth="1"/>
    <col min="11789" max="11789" width="10.140625" style="65" customWidth="1"/>
    <col min="11790" max="11790" width="8.42578125" style="65" customWidth="1"/>
    <col min="11791" max="11791" width="18.85546875" style="65" customWidth="1"/>
    <col min="11792" max="11792" width="10.28515625" style="65" customWidth="1"/>
    <col min="11793" max="11793" width="11.42578125" style="65"/>
    <col min="11794" max="11794" width="12.140625" style="65" customWidth="1"/>
    <col min="11795" max="11795" width="10.5703125" style="65" customWidth="1"/>
    <col min="11796" max="11796" width="12.42578125" style="65" customWidth="1"/>
    <col min="11797" max="11797" width="15.140625" style="65" customWidth="1"/>
    <col min="11798" max="11798" width="13.5703125" style="65" customWidth="1"/>
    <col min="11799" max="11799" width="13.140625" style="65" customWidth="1"/>
    <col min="11800" max="11800" width="15.7109375" style="65" customWidth="1"/>
    <col min="11801" max="11801" width="37.5703125" style="65" customWidth="1"/>
    <col min="11802" max="12023" width="11.42578125" style="65"/>
    <col min="12024" max="12024" width="10.5703125" style="65" customWidth="1"/>
    <col min="12025" max="12025" width="4.85546875" style="65" customWidth="1"/>
    <col min="12026" max="12026" width="32.42578125" style="65" customWidth="1"/>
    <col min="12027" max="12027" width="9.85546875" style="65" customWidth="1"/>
    <col min="12028" max="12028" width="10.140625" style="65" customWidth="1"/>
    <col min="12029" max="12029" width="12.28515625" style="65" customWidth="1"/>
    <col min="12030" max="12030" width="15.42578125" style="65" customWidth="1"/>
    <col min="12031" max="12031" width="11.85546875" style="65" customWidth="1"/>
    <col min="12032" max="12032" width="13.28515625" style="65" customWidth="1"/>
    <col min="12033" max="12033" width="15.28515625" style="65" customWidth="1"/>
    <col min="12034" max="12034" width="11.85546875" style="65" customWidth="1"/>
    <col min="12035" max="12035" width="6.140625" style="65" customWidth="1"/>
    <col min="12036" max="12036" width="11.85546875" style="65" customWidth="1"/>
    <col min="12037" max="12037" width="9.42578125" style="65" customWidth="1"/>
    <col min="12038" max="12038" width="14.7109375" style="65" customWidth="1"/>
    <col min="12039" max="12039" width="11.5703125" style="65" customWidth="1"/>
    <col min="12040" max="12040" width="0.42578125" style="65" customWidth="1"/>
    <col min="12041" max="12041" width="10.5703125" style="65" bestFit="1" customWidth="1"/>
    <col min="12042" max="12042" width="12.28515625" style="65" customWidth="1"/>
    <col min="12043" max="12043" width="12.5703125" style="65" customWidth="1"/>
    <col min="12044" max="12044" width="10.5703125" style="65" customWidth="1"/>
    <col min="12045" max="12045" width="10.140625" style="65" customWidth="1"/>
    <col min="12046" max="12046" width="8.42578125" style="65" customWidth="1"/>
    <col min="12047" max="12047" width="18.85546875" style="65" customWidth="1"/>
    <col min="12048" max="12048" width="10.28515625" style="65" customWidth="1"/>
    <col min="12049" max="12049" width="11.42578125" style="65"/>
    <col min="12050" max="12050" width="12.140625" style="65" customWidth="1"/>
    <col min="12051" max="12051" width="10.5703125" style="65" customWidth="1"/>
    <col min="12052" max="12052" width="12.42578125" style="65" customWidth="1"/>
    <col min="12053" max="12053" width="15.140625" style="65" customWidth="1"/>
    <col min="12054" max="12054" width="13.5703125" style="65" customWidth="1"/>
    <col min="12055" max="12055" width="13.140625" style="65" customWidth="1"/>
    <col min="12056" max="12056" width="15.7109375" style="65" customWidth="1"/>
    <col min="12057" max="12057" width="37.5703125" style="65" customWidth="1"/>
    <col min="12058" max="12279" width="11.42578125" style="65"/>
    <col min="12280" max="12280" width="10.5703125" style="65" customWidth="1"/>
    <col min="12281" max="12281" width="4.85546875" style="65" customWidth="1"/>
    <col min="12282" max="12282" width="32.42578125" style="65" customWidth="1"/>
    <col min="12283" max="12283" width="9.85546875" style="65" customWidth="1"/>
    <col min="12284" max="12284" width="10.140625" style="65" customWidth="1"/>
    <col min="12285" max="12285" width="12.28515625" style="65" customWidth="1"/>
    <col min="12286" max="12286" width="15.42578125" style="65" customWidth="1"/>
    <col min="12287" max="12287" width="11.85546875" style="65" customWidth="1"/>
    <col min="12288" max="12288" width="13.28515625" style="65" customWidth="1"/>
    <col min="12289" max="12289" width="15.28515625" style="65" customWidth="1"/>
    <col min="12290" max="12290" width="11.85546875" style="65" customWidth="1"/>
    <col min="12291" max="12291" width="6.140625" style="65" customWidth="1"/>
    <col min="12292" max="12292" width="11.85546875" style="65" customWidth="1"/>
    <col min="12293" max="12293" width="9.42578125" style="65" customWidth="1"/>
    <col min="12294" max="12294" width="14.7109375" style="65" customWidth="1"/>
    <col min="12295" max="12295" width="11.5703125" style="65" customWidth="1"/>
    <col min="12296" max="12296" width="0.42578125" style="65" customWidth="1"/>
    <col min="12297" max="12297" width="10.5703125" style="65" bestFit="1" customWidth="1"/>
    <col min="12298" max="12298" width="12.28515625" style="65" customWidth="1"/>
    <col min="12299" max="12299" width="12.5703125" style="65" customWidth="1"/>
    <col min="12300" max="12300" width="10.5703125" style="65" customWidth="1"/>
    <col min="12301" max="12301" width="10.140625" style="65" customWidth="1"/>
    <col min="12302" max="12302" width="8.42578125" style="65" customWidth="1"/>
    <col min="12303" max="12303" width="18.85546875" style="65" customWidth="1"/>
    <col min="12304" max="12304" width="10.28515625" style="65" customWidth="1"/>
    <col min="12305" max="12305" width="11.42578125" style="65"/>
    <col min="12306" max="12306" width="12.140625" style="65" customWidth="1"/>
    <col min="12307" max="12307" width="10.5703125" style="65" customWidth="1"/>
    <col min="12308" max="12308" width="12.42578125" style="65" customWidth="1"/>
    <col min="12309" max="12309" width="15.140625" style="65" customWidth="1"/>
    <col min="12310" max="12310" width="13.5703125" style="65" customWidth="1"/>
    <col min="12311" max="12311" width="13.140625" style="65" customWidth="1"/>
    <col min="12312" max="12312" width="15.7109375" style="65" customWidth="1"/>
    <col min="12313" max="12313" width="37.5703125" style="65" customWidth="1"/>
    <col min="12314" max="12535" width="11.42578125" style="65"/>
    <col min="12536" max="12536" width="10.5703125" style="65" customWidth="1"/>
    <col min="12537" max="12537" width="4.85546875" style="65" customWidth="1"/>
    <col min="12538" max="12538" width="32.42578125" style="65" customWidth="1"/>
    <col min="12539" max="12539" width="9.85546875" style="65" customWidth="1"/>
    <col min="12540" max="12540" width="10.140625" style="65" customWidth="1"/>
    <col min="12541" max="12541" width="12.28515625" style="65" customWidth="1"/>
    <col min="12542" max="12542" width="15.42578125" style="65" customWidth="1"/>
    <col min="12543" max="12543" width="11.85546875" style="65" customWidth="1"/>
    <col min="12544" max="12544" width="13.28515625" style="65" customWidth="1"/>
    <col min="12545" max="12545" width="15.28515625" style="65" customWidth="1"/>
    <col min="12546" max="12546" width="11.85546875" style="65" customWidth="1"/>
    <col min="12547" max="12547" width="6.140625" style="65" customWidth="1"/>
    <col min="12548" max="12548" width="11.85546875" style="65" customWidth="1"/>
    <col min="12549" max="12549" width="9.42578125" style="65" customWidth="1"/>
    <col min="12550" max="12550" width="14.7109375" style="65" customWidth="1"/>
    <col min="12551" max="12551" width="11.5703125" style="65" customWidth="1"/>
    <col min="12552" max="12552" width="0.42578125" style="65" customWidth="1"/>
    <col min="12553" max="12553" width="10.5703125" style="65" bestFit="1" customWidth="1"/>
    <col min="12554" max="12554" width="12.28515625" style="65" customWidth="1"/>
    <col min="12555" max="12555" width="12.5703125" style="65" customWidth="1"/>
    <col min="12556" max="12556" width="10.5703125" style="65" customWidth="1"/>
    <col min="12557" max="12557" width="10.140625" style="65" customWidth="1"/>
    <col min="12558" max="12558" width="8.42578125" style="65" customWidth="1"/>
    <col min="12559" max="12559" width="18.85546875" style="65" customWidth="1"/>
    <col min="12560" max="12560" width="10.28515625" style="65" customWidth="1"/>
    <col min="12561" max="12561" width="11.42578125" style="65"/>
    <col min="12562" max="12562" width="12.140625" style="65" customWidth="1"/>
    <col min="12563" max="12563" width="10.5703125" style="65" customWidth="1"/>
    <col min="12564" max="12564" width="12.42578125" style="65" customWidth="1"/>
    <col min="12565" max="12565" width="15.140625" style="65" customWidth="1"/>
    <col min="12566" max="12566" width="13.5703125" style="65" customWidth="1"/>
    <col min="12567" max="12567" width="13.140625" style="65" customWidth="1"/>
    <col min="12568" max="12568" width="15.7109375" style="65" customWidth="1"/>
    <col min="12569" max="12569" width="37.5703125" style="65" customWidth="1"/>
    <col min="12570" max="12791" width="11.42578125" style="65"/>
    <col min="12792" max="12792" width="10.5703125" style="65" customWidth="1"/>
    <col min="12793" max="12793" width="4.85546875" style="65" customWidth="1"/>
    <col min="12794" max="12794" width="32.42578125" style="65" customWidth="1"/>
    <col min="12795" max="12795" width="9.85546875" style="65" customWidth="1"/>
    <col min="12796" max="12796" width="10.140625" style="65" customWidth="1"/>
    <col min="12797" max="12797" width="12.28515625" style="65" customWidth="1"/>
    <col min="12798" max="12798" width="15.42578125" style="65" customWidth="1"/>
    <col min="12799" max="12799" width="11.85546875" style="65" customWidth="1"/>
    <col min="12800" max="12800" width="13.28515625" style="65" customWidth="1"/>
    <col min="12801" max="12801" width="15.28515625" style="65" customWidth="1"/>
    <col min="12802" max="12802" width="11.85546875" style="65" customWidth="1"/>
    <col min="12803" max="12803" width="6.140625" style="65" customWidth="1"/>
    <col min="12804" max="12804" width="11.85546875" style="65" customWidth="1"/>
    <col min="12805" max="12805" width="9.42578125" style="65" customWidth="1"/>
    <col min="12806" max="12806" width="14.7109375" style="65" customWidth="1"/>
    <col min="12807" max="12807" width="11.5703125" style="65" customWidth="1"/>
    <col min="12808" max="12808" width="0.42578125" style="65" customWidth="1"/>
    <col min="12809" max="12809" width="10.5703125" style="65" bestFit="1" customWidth="1"/>
    <col min="12810" max="12810" width="12.28515625" style="65" customWidth="1"/>
    <col min="12811" max="12811" width="12.5703125" style="65" customWidth="1"/>
    <col min="12812" max="12812" width="10.5703125" style="65" customWidth="1"/>
    <col min="12813" max="12813" width="10.140625" style="65" customWidth="1"/>
    <col min="12814" max="12814" width="8.42578125" style="65" customWidth="1"/>
    <col min="12815" max="12815" width="18.85546875" style="65" customWidth="1"/>
    <col min="12816" max="12816" width="10.28515625" style="65" customWidth="1"/>
    <col min="12817" max="12817" width="11.42578125" style="65"/>
    <col min="12818" max="12818" width="12.140625" style="65" customWidth="1"/>
    <col min="12819" max="12819" width="10.5703125" style="65" customWidth="1"/>
    <col min="12820" max="12820" width="12.42578125" style="65" customWidth="1"/>
    <col min="12821" max="12821" width="15.140625" style="65" customWidth="1"/>
    <col min="12822" max="12822" width="13.5703125" style="65" customWidth="1"/>
    <col min="12823" max="12823" width="13.140625" style="65" customWidth="1"/>
    <col min="12824" max="12824" width="15.7109375" style="65" customWidth="1"/>
    <col min="12825" max="12825" width="37.5703125" style="65" customWidth="1"/>
    <col min="12826" max="13047" width="11.42578125" style="65"/>
    <col min="13048" max="13048" width="10.5703125" style="65" customWidth="1"/>
    <col min="13049" max="13049" width="4.85546875" style="65" customWidth="1"/>
    <col min="13050" max="13050" width="32.42578125" style="65" customWidth="1"/>
    <col min="13051" max="13051" width="9.85546875" style="65" customWidth="1"/>
    <col min="13052" max="13052" width="10.140625" style="65" customWidth="1"/>
    <col min="13053" max="13053" width="12.28515625" style="65" customWidth="1"/>
    <col min="13054" max="13054" width="15.42578125" style="65" customWidth="1"/>
    <col min="13055" max="13055" width="11.85546875" style="65" customWidth="1"/>
    <col min="13056" max="13056" width="13.28515625" style="65" customWidth="1"/>
    <col min="13057" max="13057" width="15.28515625" style="65" customWidth="1"/>
    <col min="13058" max="13058" width="11.85546875" style="65" customWidth="1"/>
    <col min="13059" max="13059" width="6.140625" style="65" customWidth="1"/>
    <col min="13060" max="13060" width="11.85546875" style="65" customWidth="1"/>
    <col min="13061" max="13061" width="9.42578125" style="65" customWidth="1"/>
    <col min="13062" max="13062" width="14.7109375" style="65" customWidth="1"/>
    <col min="13063" max="13063" width="11.5703125" style="65" customWidth="1"/>
    <col min="13064" max="13064" width="0.42578125" style="65" customWidth="1"/>
    <col min="13065" max="13065" width="10.5703125" style="65" bestFit="1" customWidth="1"/>
    <col min="13066" max="13066" width="12.28515625" style="65" customWidth="1"/>
    <col min="13067" max="13067" width="12.5703125" style="65" customWidth="1"/>
    <col min="13068" max="13068" width="10.5703125" style="65" customWidth="1"/>
    <col min="13069" max="13069" width="10.140625" style="65" customWidth="1"/>
    <col min="13070" max="13070" width="8.42578125" style="65" customWidth="1"/>
    <col min="13071" max="13071" width="18.85546875" style="65" customWidth="1"/>
    <col min="13072" max="13072" width="10.28515625" style="65" customWidth="1"/>
    <col min="13073" max="13073" width="11.42578125" style="65"/>
    <col min="13074" max="13074" width="12.140625" style="65" customWidth="1"/>
    <col min="13075" max="13075" width="10.5703125" style="65" customWidth="1"/>
    <col min="13076" max="13076" width="12.42578125" style="65" customWidth="1"/>
    <col min="13077" max="13077" width="15.140625" style="65" customWidth="1"/>
    <col min="13078" max="13078" width="13.5703125" style="65" customWidth="1"/>
    <col min="13079" max="13079" width="13.140625" style="65" customWidth="1"/>
    <col min="13080" max="13080" width="15.7109375" style="65" customWidth="1"/>
    <col min="13081" max="13081" width="37.5703125" style="65" customWidth="1"/>
    <col min="13082" max="13303" width="11.42578125" style="65"/>
    <col min="13304" max="13304" width="10.5703125" style="65" customWidth="1"/>
    <col min="13305" max="13305" width="4.85546875" style="65" customWidth="1"/>
    <col min="13306" max="13306" width="32.42578125" style="65" customWidth="1"/>
    <col min="13307" max="13307" width="9.85546875" style="65" customWidth="1"/>
    <col min="13308" max="13308" width="10.140625" style="65" customWidth="1"/>
    <col min="13309" max="13309" width="12.28515625" style="65" customWidth="1"/>
    <col min="13310" max="13310" width="15.42578125" style="65" customWidth="1"/>
    <col min="13311" max="13311" width="11.85546875" style="65" customWidth="1"/>
    <col min="13312" max="13312" width="13.28515625" style="65" customWidth="1"/>
    <col min="13313" max="13313" width="15.28515625" style="65" customWidth="1"/>
    <col min="13314" max="13314" width="11.85546875" style="65" customWidth="1"/>
    <col min="13315" max="13315" width="6.140625" style="65" customWidth="1"/>
    <col min="13316" max="13316" width="11.85546875" style="65" customWidth="1"/>
    <col min="13317" max="13317" width="9.42578125" style="65" customWidth="1"/>
    <col min="13318" max="13318" width="14.7109375" style="65" customWidth="1"/>
    <col min="13319" max="13319" width="11.5703125" style="65" customWidth="1"/>
    <col min="13320" max="13320" width="0.42578125" style="65" customWidth="1"/>
    <col min="13321" max="13321" width="10.5703125" style="65" bestFit="1" customWidth="1"/>
    <col min="13322" max="13322" width="12.28515625" style="65" customWidth="1"/>
    <col min="13323" max="13323" width="12.5703125" style="65" customWidth="1"/>
    <col min="13324" max="13324" width="10.5703125" style="65" customWidth="1"/>
    <col min="13325" max="13325" width="10.140625" style="65" customWidth="1"/>
    <col min="13326" max="13326" width="8.42578125" style="65" customWidth="1"/>
    <col min="13327" max="13327" width="18.85546875" style="65" customWidth="1"/>
    <col min="13328" max="13328" width="10.28515625" style="65" customWidth="1"/>
    <col min="13329" max="13329" width="11.42578125" style="65"/>
    <col min="13330" max="13330" width="12.140625" style="65" customWidth="1"/>
    <col min="13331" max="13331" width="10.5703125" style="65" customWidth="1"/>
    <col min="13332" max="13332" width="12.42578125" style="65" customWidth="1"/>
    <col min="13333" max="13333" width="15.140625" style="65" customWidth="1"/>
    <col min="13334" max="13334" width="13.5703125" style="65" customWidth="1"/>
    <col min="13335" max="13335" width="13.140625" style="65" customWidth="1"/>
    <col min="13336" max="13336" width="15.7109375" style="65" customWidth="1"/>
    <col min="13337" max="13337" width="37.5703125" style="65" customWidth="1"/>
    <col min="13338" max="13559" width="11.42578125" style="65"/>
    <col min="13560" max="13560" width="10.5703125" style="65" customWidth="1"/>
    <col min="13561" max="13561" width="4.85546875" style="65" customWidth="1"/>
    <col min="13562" max="13562" width="32.42578125" style="65" customWidth="1"/>
    <col min="13563" max="13563" width="9.85546875" style="65" customWidth="1"/>
    <col min="13564" max="13564" width="10.140625" style="65" customWidth="1"/>
    <col min="13565" max="13565" width="12.28515625" style="65" customWidth="1"/>
    <col min="13566" max="13566" width="15.42578125" style="65" customWidth="1"/>
    <col min="13567" max="13567" width="11.85546875" style="65" customWidth="1"/>
    <col min="13568" max="13568" width="13.28515625" style="65" customWidth="1"/>
    <col min="13569" max="13569" width="15.28515625" style="65" customWidth="1"/>
    <col min="13570" max="13570" width="11.85546875" style="65" customWidth="1"/>
    <col min="13571" max="13571" width="6.140625" style="65" customWidth="1"/>
    <col min="13572" max="13572" width="11.85546875" style="65" customWidth="1"/>
    <col min="13573" max="13573" width="9.42578125" style="65" customWidth="1"/>
    <col min="13574" max="13574" width="14.7109375" style="65" customWidth="1"/>
    <col min="13575" max="13575" width="11.5703125" style="65" customWidth="1"/>
    <col min="13576" max="13576" width="0.42578125" style="65" customWidth="1"/>
    <col min="13577" max="13577" width="10.5703125" style="65" bestFit="1" customWidth="1"/>
    <col min="13578" max="13578" width="12.28515625" style="65" customWidth="1"/>
    <col min="13579" max="13579" width="12.5703125" style="65" customWidth="1"/>
    <col min="13580" max="13580" width="10.5703125" style="65" customWidth="1"/>
    <col min="13581" max="13581" width="10.140625" style="65" customWidth="1"/>
    <col min="13582" max="13582" width="8.42578125" style="65" customWidth="1"/>
    <col min="13583" max="13583" width="18.85546875" style="65" customWidth="1"/>
    <col min="13584" max="13584" width="10.28515625" style="65" customWidth="1"/>
    <col min="13585" max="13585" width="11.42578125" style="65"/>
    <col min="13586" max="13586" width="12.140625" style="65" customWidth="1"/>
    <col min="13587" max="13587" width="10.5703125" style="65" customWidth="1"/>
    <col min="13588" max="13588" width="12.42578125" style="65" customWidth="1"/>
    <col min="13589" max="13589" width="15.140625" style="65" customWidth="1"/>
    <col min="13590" max="13590" width="13.5703125" style="65" customWidth="1"/>
    <col min="13591" max="13591" width="13.140625" style="65" customWidth="1"/>
    <col min="13592" max="13592" width="15.7109375" style="65" customWidth="1"/>
    <col min="13593" max="13593" width="37.5703125" style="65" customWidth="1"/>
    <col min="13594" max="13815" width="11.42578125" style="65"/>
    <col min="13816" max="13816" width="10.5703125" style="65" customWidth="1"/>
    <col min="13817" max="13817" width="4.85546875" style="65" customWidth="1"/>
    <col min="13818" max="13818" width="32.42578125" style="65" customWidth="1"/>
    <col min="13819" max="13819" width="9.85546875" style="65" customWidth="1"/>
    <col min="13820" max="13820" width="10.140625" style="65" customWidth="1"/>
    <col min="13821" max="13821" width="12.28515625" style="65" customWidth="1"/>
    <col min="13822" max="13822" width="15.42578125" style="65" customWidth="1"/>
    <col min="13823" max="13823" width="11.85546875" style="65" customWidth="1"/>
    <col min="13824" max="13824" width="13.28515625" style="65" customWidth="1"/>
    <col min="13825" max="13825" width="15.28515625" style="65" customWidth="1"/>
    <col min="13826" max="13826" width="11.85546875" style="65" customWidth="1"/>
    <col min="13827" max="13827" width="6.140625" style="65" customWidth="1"/>
    <col min="13828" max="13828" width="11.85546875" style="65" customWidth="1"/>
    <col min="13829" max="13829" width="9.42578125" style="65" customWidth="1"/>
    <col min="13830" max="13830" width="14.7109375" style="65" customWidth="1"/>
    <col min="13831" max="13831" width="11.5703125" style="65" customWidth="1"/>
    <col min="13832" max="13832" width="0.42578125" style="65" customWidth="1"/>
    <col min="13833" max="13833" width="10.5703125" style="65" bestFit="1" customWidth="1"/>
    <col min="13834" max="13834" width="12.28515625" style="65" customWidth="1"/>
    <col min="13835" max="13835" width="12.5703125" style="65" customWidth="1"/>
    <col min="13836" max="13836" width="10.5703125" style="65" customWidth="1"/>
    <col min="13837" max="13837" width="10.140625" style="65" customWidth="1"/>
    <col min="13838" max="13838" width="8.42578125" style="65" customWidth="1"/>
    <col min="13839" max="13839" width="18.85546875" style="65" customWidth="1"/>
    <col min="13840" max="13840" width="10.28515625" style="65" customWidth="1"/>
    <col min="13841" max="13841" width="11.42578125" style="65"/>
    <col min="13842" max="13842" width="12.140625" style="65" customWidth="1"/>
    <col min="13843" max="13843" width="10.5703125" style="65" customWidth="1"/>
    <col min="13844" max="13844" width="12.42578125" style="65" customWidth="1"/>
    <col min="13845" max="13845" width="15.140625" style="65" customWidth="1"/>
    <col min="13846" max="13846" width="13.5703125" style="65" customWidth="1"/>
    <col min="13847" max="13847" width="13.140625" style="65" customWidth="1"/>
    <col min="13848" max="13848" width="15.7109375" style="65" customWidth="1"/>
    <col min="13849" max="13849" width="37.5703125" style="65" customWidth="1"/>
    <col min="13850" max="14071" width="11.42578125" style="65"/>
    <col min="14072" max="14072" width="10.5703125" style="65" customWidth="1"/>
    <col min="14073" max="14073" width="4.85546875" style="65" customWidth="1"/>
    <col min="14074" max="14074" width="32.42578125" style="65" customWidth="1"/>
    <col min="14075" max="14075" width="9.85546875" style="65" customWidth="1"/>
    <col min="14076" max="14076" width="10.140625" style="65" customWidth="1"/>
    <col min="14077" max="14077" width="12.28515625" style="65" customWidth="1"/>
    <col min="14078" max="14078" width="15.42578125" style="65" customWidth="1"/>
    <col min="14079" max="14079" width="11.85546875" style="65" customWidth="1"/>
    <col min="14080" max="14080" width="13.28515625" style="65" customWidth="1"/>
    <col min="14081" max="14081" width="15.28515625" style="65" customWidth="1"/>
    <col min="14082" max="14082" width="11.85546875" style="65" customWidth="1"/>
    <col min="14083" max="14083" width="6.140625" style="65" customWidth="1"/>
    <col min="14084" max="14084" width="11.85546875" style="65" customWidth="1"/>
    <col min="14085" max="14085" width="9.42578125" style="65" customWidth="1"/>
    <col min="14086" max="14086" width="14.7109375" style="65" customWidth="1"/>
    <col min="14087" max="14087" width="11.5703125" style="65" customWidth="1"/>
    <col min="14088" max="14088" width="0.42578125" style="65" customWidth="1"/>
    <col min="14089" max="14089" width="10.5703125" style="65" bestFit="1" customWidth="1"/>
    <col min="14090" max="14090" width="12.28515625" style="65" customWidth="1"/>
    <col min="14091" max="14091" width="12.5703125" style="65" customWidth="1"/>
    <col min="14092" max="14092" width="10.5703125" style="65" customWidth="1"/>
    <col min="14093" max="14093" width="10.140625" style="65" customWidth="1"/>
    <col min="14094" max="14094" width="8.42578125" style="65" customWidth="1"/>
    <col min="14095" max="14095" width="18.85546875" style="65" customWidth="1"/>
    <col min="14096" max="14096" width="10.28515625" style="65" customWidth="1"/>
    <col min="14097" max="14097" width="11.42578125" style="65"/>
    <col min="14098" max="14098" width="12.140625" style="65" customWidth="1"/>
    <col min="14099" max="14099" width="10.5703125" style="65" customWidth="1"/>
    <col min="14100" max="14100" width="12.42578125" style="65" customWidth="1"/>
    <col min="14101" max="14101" width="15.140625" style="65" customWidth="1"/>
    <col min="14102" max="14102" width="13.5703125" style="65" customWidth="1"/>
    <col min="14103" max="14103" width="13.140625" style="65" customWidth="1"/>
    <col min="14104" max="14104" width="15.7109375" style="65" customWidth="1"/>
    <col min="14105" max="14105" width="37.5703125" style="65" customWidth="1"/>
    <col min="14106" max="14327" width="11.42578125" style="65"/>
    <col min="14328" max="14328" width="10.5703125" style="65" customWidth="1"/>
    <col min="14329" max="14329" width="4.85546875" style="65" customWidth="1"/>
    <col min="14330" max="14330" width="32.42578125" style="65" customWidth="1"/>
    <col min="14331" max="14331" width="9.85546875" style="65" customWidth="1"/>
    <col min="14332" max="14332" width="10.140625" style="65" customWidth="1"/>
    <col min="14333" max="14333" width="12.28515625" style="65" customWidth="1"/>
    <col min="14334" max="14334" width="15.42578125" style="65" customWidth="1"/>
    <col min="14335" max="14335" width="11.85546875" style="65" customWidth="1"/>
    <col min="14336" max="14336" width="13.28515625" style="65" customWidth="1"/>
    <col min="14337" max="14337" width="15.28515625" style="65" customWidth="1"/>
    <col min="14338" max="14338" width="11.85546875" style="65" customWidth="1"/>
    <col min="14339" max="14339" width="6.140625" style="65" customWidth="1"/>
    <col min="14340" max="14340" width="11.85546875" style="65" customWidth="1"/>
    <col min="14341" max="14341" width="9.42578125" style="65" customWidth="1"/>
    <col min="14342" max="14342" width="14.7109375" style="65" customWidth="1"/>
    <col min="14343" max="14343" width="11.5703125" style="65" customWidth="1"/>
    <col min="14344" max="14344" width="0.42578125" style="65" customWidth="1"/>
    <col min="14345" max="14345" width="10.5703125" style="65" bestFit="1" customWidth="1"/>
    <col min="14346" max="14346" width="12.28515625" style="65" customWidth="1"/>
    <col min="14347" max="14347" width="12.5703125" style="65" customWidth="1"/>
    <col min="14348" max="14348" width="10.5703125" style="65" customWidth="1"/>
    <col min="14349" max="14349" width="10.140625" style="65" customWidth="1"/>
    <col min="14350" max="14350" width="8.42578125" style="65" customWidth="1"/>
    <col min="14351" max="14351" width="18.85546875" style="65" customWidth="1"/>
    <col min="14352" max="14352" width="10.28515625" style="65" customWidth="1"/>
    <col min="14353" max="14353" width="11.42578125" style="65"/>
    <col min="14354" max="14354" width="12.140625" style="65" customWidth="1"/>
    <col min="14355" max="14355" width="10.5703125" style="65" customWidth="1"/>
    <col min="14356" max="14356" width="12.42578125" style="65" customWidth="1"/>
    <col min="14357" max="14357" width="15.140625" style="65" customWidth="1"/>
    <col min="14358" max="14358" width="13.5703125" style="65" customWidth="1"/>
    <col min="14359" max="14359" width="13.140625" style="65" customWidth="1"/>
    <col min="14360" max="14360" width="15.7109375" style="65" customWidth="1"/>
    <col min="14361" max="14361" width="37.5703125" style="65" customWidth="1"/>
    <col min="14362" max="14583" width="11.42578125" style="65"/>
    <col min="14584" max="14584" width="10.5703125" style="65" customWidth="1"/>
    <col min="14585" max="14585" width="4.85546875" style="65" customWidth="1"/>
    <col min="14586" max="14586" width="32.42578125" style="65" customWidth="1"/>
    <col min="14587" max="14587" width="9.85546875" style="65" customWidth="1"/>
    <col min="14588" max="14588" width="10.140625" style="65" customWidth="1"/>
    <col min="14589" max="14589" width="12.28515625" style="65" customWidth="1"/>
    <col min="14590" max="14590" width="15.42578125" style="65" customWidth="1"/>
    <col min="14591" max="14591" width="11.85546875" style="65" customWidth="1"/>
    <col min="14592" max="14592" width="13.28515625" style="65" customWidth="1"/>
    <col min="14593" max="14593" width="15.28515625" style="65" customWidth="1"/>
    <col min="14594" max="14594" width="11.85546875" style="65" customWidth="1"/>
    <col min="14595" max="14595" width="6.140625" style="65" customWidth="1"/>
    <col min="14596" max="14596" width="11.85546875" style="65" customWidth="1"/>
    <col min="14597" max="14597" width="9.42578125" style="65" customWidth="1"/>
    <col min="14598" max="14598" width="14.7109375" style="65" customWidth="1"/>
    <col min="14599" max="14599" width="11.5703125" style="65" customWidth="1"/>
    <col min="14600" max="14600" width="0.42578125" style="65" customWidth="1"/>
    <col min="14601" max="14601" width="10.5703125" style="65" bestFit="1" customWidth="1"/>
    <col min="14602" max="14602" width="12.28515625" style="65" customWidth="1"/>
    <col min="14603" max="14603" width="12.5703125" style="65" customWidth="1"/>
    <col min="14604" max="14604" width="10.5703125" style="65" customWidth="1"/>
    <col min="14605" max="14605" width="10.140625" style="65" customWidth="1"/>
    <col min="14606" max="14606" width="8.42578125" style="65" customWidth="1"/>
    <col min="14607" max="14607" width="18.85546875" style="65" customWidth="1"/>
    <col min="14608" max="14608" width="10.28515625" style="65" customWidth="1"/>
    <col min="14609" max="14609" width="11.42578125" style="65"/>
    <col min="14610" max="14610" width="12.140625" style="65" customWidth="1"/>
    <col min="14611" max="14611" width="10.5703125" style="65" customWidth="1"/>
    <col min="14612" max="14612" width="12.42578125" style="65" customWidth="1"/>
    <col min="14613" max="14613" width="15.140625" style="65" customWidth="1"/>
    <col min="14614" max="14614" width="13.5703125" style="65" customWidth="1"/>
    <col min="14615" max="14615" width="13.140625" style="65" customWidth="1"/>
    <col min="14616" max="14616" width="15.7109375" style="65" customWidth="1"/>
    <col min="14617" max="14617" width="37.5703125" style="65" customWidth="1"/>
    <col min="14618" max="14839" width="11.42578125" style="65"/>
    <col min="14840" max="14840" width="10.5703125" style="65" customWidth="1"/>
    <col min="14841" max="14841" width="4.85546875" style="65" customWidth="1"/>
    <col min="14842" max="14842" width="32.42578125" style="65" customWidth="1"/>
    <col min="14843" max="14843" width="9.85546875" style="65" customWidth="1"/>
    <col min="14844" max="14844" width="10.140625" style="65" customWidth="1"/>
    <col min="14845" max="14845" width="12.28515625" style="65" customWidth="1"/>
    <col min="14846" max="14846" width="15.42578125" style="65" customWidth="1"/>
    <col min="14847" max="14847" width="11.85546875" style="65" customWidth="1"/>
    <col min="14848" max="14848" width="13.28515625" style="65" customWidth="1"/>
    <col min="14849" max="14849" width="15.28515625" style="65" customWidth="1"/>
    <col min="14850" max="14850" width="11.85546875" style="65" customWidth="1"/>
    <col min="14851" max="14851" width="6.140625" style="65" customWidth="1"/>
    <col min="14852" max="14852" width="11.85546875" style="65" customWidth="1"/>
    <col min="14853" max="14853" width="9.42578125" style="65" customWidth="1"/>
    <col min="14854" max="14854" width="14.7109375" style="65" customWidth="1"/>
    <col min="14855" max="14855" width="11.5703125" style="65" customWidth="1"/>
    <col min="14856" max="14856" width="0.42578125" style="65" customWidth="1"/>
    <col min="14857" max="14857" width="10.5703125" style="65" bestFit="1" customWidth="1"/>
    <col min="14858" max="14858" width="12.28515625" style="65" customWidth="1"/>
    <col min="14859" max="14859" width="12.5703125" style="65" customWidth="1"/>
    <col min="14860" max="14860" width="10.5703125" style="65" customWidth="1"/>
    <col min="14861" max="14861" width="10.140625" style="65" customWidth="1"/>
    <col min="14862" max="14862" width="8.42578125" style="65" customWidth="1"/>
    <col min="14863" max="14863" width="18.85546875" style="65" customWidth="1"/>
    <col min="14864" max="14864" width="10.28515625" style="65" customWidth="1"/>
    <col min="14865" max="14865" width="11.42578125" style="65"/>
    <col min="14866" max="14866" width="12.140625" style="65" customWidth="1"/>
    <col min="14867" max="14867" width="10.5703125" style="65" customWidth="1"/>
    <col min="14868" max="14868" width="12.42578125" style="65" customWidth="1"/>
    <col min="14869" max="14869" width="15.140625" style="65" customWidth="1"/>
    <col min="14870" max="14870" width="13.5703125" style="65" customWidth="1"/>
    <col min="14871" max="14871" width="13.140625" style="65" customWidth="1"/>
    <col min="14872" max="14872" width="15.7109375" style="65" customWidth="1"/>
    <col min="14873" max="14873" width="37.5703125" style="65" customWidth="1"/>
    <col min="14874" max="15095" width="11.42578125" style="65"/>
    <col min="15096" max="15096" width="10.5703125" style="65" customWidth="1"/>
    <col min="15097" max="15097" width="4.85546875" style="65" customWidth="1"/>
    <col min="15098" max="15098" width="32.42578125" style="65" customWidth="1"/>
    <col min="15099" max="15099" width="9.85546875" style="65" customWidth="1"/>
    <col min="15100" max="15100" width="10.140625" style="65" customWidth="1"/>
    <col min="15101" max="15101" width="12.28515625" style="65" customWidth="1"/>
    <col min="15102" max="15102" width="15.42578125" style="65" customWidth="1"/>
    <col min="15103" max="15103" width="11.85546875" style="65" customWidth="1"/>
    <col min="15104" max="15104" width="13.28515625" style="65" customWidth="1"/>
    <col min="15105" max="15105" width="15.28515625" style="65" customWidth="1"/>
    <col min="15106" max="15106" width="11.85546875" style="65" customWidth="1"/>
    <col min="15107" max="15107" width="6.140625" style="65" customWidth="1"/>
    <col min="15108" max="15108" width="11.85546875" style="65" customWidth="1"/>
    <col min="15109" max="15109" width="9.42578125" style="65" customWidth="1"/>
    <col min="15110" max="15110" width="14.7109375" style="65" customWidth="1"/>
    <col min="15111" max="15111" width="11.5703125" style="65" customWidth="1"/>
    <col min="15112" max="15112" width="0.42578125" style="65" customWidth="1"/>
    <col min="15113" max="15113" width="10.5703125" style="65" bestFit="1" customWidth="1"/>
    <col min="15114" max="15114" width="12.28515625" style="65" customWidth="1"/>
    <col min="15115" max="15115" width="12.5703125" style="65" customWidth="1"/>
    <col min="15116" max="15116" width="10.5703125" style="65" customWidth="1"/>
    <col min="15117" max="15117" width="10.140625" style="65" customWidth="1"/>
    <col min="15118" max="15118" width="8.42578125" style="65" customWidth="1"/>
    <col min="15119" max="15119" width="18.85546875" style="65" customWidth="1"/>
    <col min="15120" max="15120" width="10.28515625" style="65" customWidth="1"/>
    <col min="15121" max="15121" width="11.42578125" style="65"/>
    <col min="15122" max="15122" width="12.140625" style="65" customWidth="1"/>
    <col min="15123" max="15123" width="10.5703125" style="65" customWidth="1"/>
    <col min="15124" max="15124" width="12.42578125" style="65" customWidth="1"/>
    <col min="15125" max="15125" width="15.140625" style="65" customWidth="1"/>
    <col min="15126" max="15126" width="13.5703125" style="65" customWidth="1"/>
    <col min="15127" max="15127" width="13.140625" style="65" customWidth="1"/>
    <col min="15128" max="15128" width="15.7109375" style="65" customWidth="1"/>
    <col min="15129" max="15129" width="37.5703125" style="65" customWidth="1"/>
    <col min="15130" max="15351" width="11.42578125" style="65"/>
    <col min="15352" max="15352" width="10.5703125" style="65" customWidth="1"/>
    <col min="15353" max="15353" width="4.85546875" style="65" customWidth="1"/>
    <col min="15354" max="15354" width="32.42578125" style="65" customWidth="1"/>
    <col min="15355" max="15355" width="9.85546875" style="65" customWidth="1"/>
    <col min="15356" max="15356" width="10.140625" style="65" customWidth="1"/>
    <col min="15357" max="15357" width="12.28515625" style="65" customWidth="1"/>
    <col min="15358" max="15358" width="15.42578125" style="65" customWidth="1"/>
    <col min="15359" max="15359" width="11.85546875" style="65" customWidth="1"/>
    <col min="15360" max="15360" width="13.28515625" style="65" customWidth="1"/>
    <col min="15361" max="15361" width="15.28515625" style="65" customWidth="1"/>
    <col min="15362" max="15362" width="11.85546875" style="65" customWidth="1"/>
    <col min="15363" max="15363" width="6.140625" style="65" customWidth="1"/>
    <col min="15364" max="15364" width="11.85546875" style="65" customWidth="1"/>
    <col min="15365" max="15365" width="9.42578125" style="65" customWidth="1"/>
    <col min="15366" max="15366" width="14.7109375" style="65" customWidth="1"/>
    <col min="15367" max="15367" width="11.5703125" style="65" customWidth="1"/>
    <col min="15368" max="15368" width="0.42578125" style="65" customWidth="1"/>
    <col min="15369" max="15369" width="10.5703125" style="65" bestFit="1" customWidth="1"/>
    <col min="15370" max="15370" width="12.28515625" style="65" customWidth="1"/>
    <col min="15371" max="15371" width="12.5703125" style="65" customWidth="1"/>
    <col min="15372" max="15372" width="10.5703125" style="65" customWidth="1"/>
    <col min="15373" max="15373" width="10.140625" style="65" customWidth="1"/>
    <col min="15374" max="15374" width="8.42578125" style="65" customWidth="1"/>
    <col min="15375" max="15375" width="18.85546875" style="65" customWidth="1"/>
    <col min="15376" max="15376" width="10.28515625" style="65" customWidth="1"/>
    <col min="15377" max="15377" width="11.42578125" style="65"/>
    <col min="15378" max="15378" width="12.140625" style="65" customWidth="1"/>
    <col min="15379" max="15379" width="10.5703125" style="65" customWidth="1"/>
    <col min="15380" max="15380" width="12.42578125" style="65" customWidth="1"/>
    <col min="15381" max="15381" width="15.140625" style="65" customWidth="1"/>
    <col min="15382" max="15382" width="13.5703125" style="65" customWidth="1"/>
    <col min="15383" max="15383" width="13.140625" style="65" customWidth="1"/>
    <col min="15384" max="15384" width="15.7109375" style="65" customWidth="1"/>
    <col min="15385" max="15385" width="37.5703125" style="65" customWidth="1"/>
    <col min="15386" max="15607" width="11.42578125" style="65"/>
    <col min="15608" max="15608" width="10.5703125" style="65" customWidth="1"/>
    <col min="15609" max="15609" width="4.85546875" style="65" customWidth="1"/>
    <col min="15610" max="15610" width="32.42578125" style="65" customWidth="1"/>
    <col min="15611" max="15611" width="9.85546875" style="65" customWidth="1"/>
    <col min="15612" max="15612" width="10.140625" style="65" customWidth="1"/>
    <col min="15613" max="15613" width="12.28515625" style="65" customWidth="1"/>
    <col min="15614" max="15614" width="15.42578125" style="65" customWidth="1"/>
    <col min="15615" max="15615" width="11.85546875" style="65" customWidth="1"/>
    <col min="15616" max="15616" width="13.28515625" style="65" customWidth="1"/>
    <col min="15617" max="15617" width="15.28515625" style="65" customWidth="1"/>
    <col min="15618" max="15618" width="11.85546875" style="65" customWidth="1"/>
    <col min="15619" max="15619" width="6.140625" style="65" customWidth="1"/>
    <col min="15620" max="15620" width="11.85546875" style="65" customWidth="1"/>
    <col min="15621" max="15621" width="9.42578125" style="65" customWidth="1"/>
    <col min="15622" max="15622" width="14.7109375" style="65" customWidth="1"/>
    <col min="15623" max="15623" width="11.5703125" style="65" customWidth="1"/>
    <col min="15624" max="15624" width="0.42578125" style="65" customWidth="1"/>
    <col min="15625" max="15625" width="10.5703125" style="65" bestFit="1" customWidth="1"/>
    <col min="15626" max="15626" width="12.28515625" style="65" customWidth="1"/>
    <col min="15627" max="15627" width="12.5703125" style="65" customWidth="1"/>
    <col min="15628" max="15628" width="10.5703125" style="65" customWidth="1"/>
    <col min="15629" max="15629" width="10.140625" style="65" customWidth="1"/>
    <col min="15630" max="15630" width="8.42578125" style="65" customWidth="1"/>
    <col min="15631" max="15631" width="18.85546875" style="65" customWidth="1"/>
    <col min="15632" max="15632" width="10.28515625" style="65" customWidth="1"/>
    <col min="15633" max="15633" width="11.42578125" style="65"/>
    <col min="15634" max="15634" width="12.140625" style="65" customWidth="1"/>
    <col min="15635" max="15635" width="10.5703125" style="65" customWidth="1"/>
    <col min="15636" max="15636" width="12.42578125" style="65" customWidth="1"/>
    <col min="15637" max="15637" width="15.140625" style="65" customWidth="1"/>
    <col min="15638" max="15638" width="13.5703125" style="65" customWidth="1"/>
    <col min="15639" max="15639" width="13.140625" style="65" customWidth="1"/>
    <col min="15640" max="15640" width="15.7109375" style="65" customWidth="1"/>
    <col min="15641" max="15641" width="37.5703125" style="65" customWidth="1"/>
    <col min="15642" max="15863" width="11.42578125" style="65"/>
    <col min="15864" max="15864" width="10.5703125" style="65" customWidth="1"/>
    <col min="15865" max="15865" width="4.85546875" style="65" customWidth="1"/>
    <col min="15866" max="15866" width="32.42578125" style="65" customWidth="1"/>
    <col min="15867" max="15867" width="9.85546875" style="65" customWidth="1"/>
    <col min="15868" max="15868" width="10.140625" style="65" customWidth="1"/>
    <col min="15869" max="15869" width="12.28515625" style="65" customWidth="1"/>
    <col min="15870" max="15870" width="15.42578125" style="65" customWidth="1"/>
    <col min="15871" max="15871" width="11.85546875" style="65" customWidth="1"/>
    <col min="15872" max="15872" width="13.28515625" style="65" customWidth="1"/>
    <col min="15873" max="15873" width="15.28515625" style="65" customWidth="1"/>
    <col min="15874" max="15874" width="11.85546875" style="65" customWidth="1"/>
    <col min="15875" max="15875" width="6.140625" style="65" customWidth="1"/>
    <col min="15876" max="15876" width="11.85546875" style="65" customWidth="1"/>
    <col min="15877" max="15877" width="9.42578125" style="65" customWidth="1"/>
    <col min="15878" max="15878" width="14.7109375" style="65" customWidth="1"/>
    <col min="15879" max="15879" width="11.5703125" style="65" customWidth="1"/>
    <col min="15880" max="15880" width="0.42578125" style="65" customWidth="1"/>
    <col min="15881" max="15881" width="10.5703125" style="65" bestFit="1" customWidth="1"/>
    <col min="15882" max="15882" width="12.28515625" style="65" customWidth="1"/>
    <col min="15883" max="15883" width="12.5703125" style="65" customWidth="1"/>
    <col min="15884" max="15884" width="10.5703125" style="65" customWidth="1"/>
    <col min="15885" max="15885" width="10.140625" style="65" customWidth="1"/>
    <col min="15886" max="15886" width="8.42578125" style="65" customWidth="1"/>
    <col min="15887" max="15887" width="18.85546875" style="65" customWidth="1"/>
    <col min="15888" max="15888" width="10.28515625" style="65" customWidth="1"/>
    <col min="15889" max="15889" width="11.42578125" style="65"/>
    <col min="15890" max="15890" width="12.140625" style="65" customWidth="1"/>
    <col min="15891" max="15891" width="10.5703125" style="65" customWidth="1"/>
    <col min="15892" max="15892" width="12.42578125" style="65" customWidth="1"/>
    <col min="15893" max="15893" width="15.140625" style="65" customWidth="1"/>
    <col min="15894" max="15894" width="13.5703125" style="65" customWidth="1"/>
    <col min="15895" max="15895" width="13.140625" style="65" customWidth="1"/>
    <col min="15896" max="15896" width="15.7109375" style="65" customWidth="1"/>
    <col min="15897" max="15897" width="37.5703125" style="65" customWidth="1"/>
    <col min="15898" max="16119" width="11.42578125" style="65"/>
    <col min="16120" max="16120" width="10.5703125" style="65" customWidth="1"/>
    <col min="16121" max="16121" width="4.85546875" style="65" customWidth="1"/>
    <col min="16122" max="16122" width="32.42578125" style="65" customWidth="1"/>
    <col min="16123" max="16123" width="9.85546875" style="65" customWidth="1"/>
    <col min="16124" max="16124" width="10.140625" style="65" customWidth="1"/>
    <col min="16125" max="16125" width="12.28515625" style="65" customWidth="1"/>
    <col min="16126" max="16126" width="15.42578125" style="65" customWidth="1"/>
    <col min="16127" max="16127" width="11.85546875" style="65" customWidth="1"/>
    <col min="16128" max="16128" width="13.28515625" style="65" customWidth="1"/>
    <col min="16129" max="16129" width="15.28515625" style="65" customWidth="1"/>
    <col min="16130" max="16130" width="11.85546875" style="65" customWidth="1"/>
    <col min="16131" max="16131" width="6.140625" style="65" customWidth="1"/>
    <col min="16132" max="16132" width="11.85546875" style="65" customWidth="1"/>
    <col min="16133" max="16133" width="9.42578125" style="65" customWidth="1"/>
    <col min="16134" max="16134" width="14.7109375" style="65" customWidth="1"/>
    <col min="16135" max="16135" width="11.5703125" style="65" customWidth="1"/>
    <col min="16136" max="16136" width="0.42578125" style="65" customWidth="1"/>
    <col min="16137" max="16137" width="10.5703125" style="65" bestFit="1" customWidth="1"/>
    <col min="16138" max="16138" width="12.28515625" style="65" customWidth="1"/>
    <col min="16139" max="16139" width="12.5703125" style="65" customWidth="1"/>
    <col min="16140" max="16140" width="10.5703125" style="65" customWidth="1"/>
    <col min="16141" max="16141" width="10.140625" style="65" customWidth="1"/>
    <col min="16142" max="16142" width="8.42578125" style="65" customWidth="1"/>
    <col min="16143" max="16143" width="18.85546875" style="65" customWidth="1"/>
    <col min="16144" max="16144" width="10.28515625" style="65" customWidth="1"/>
    <col min="16145" max="16145" width="11.42578125" style="65"/>
    <col min="16146" max="16146" width="12.140625" style="65" customWidth="1"/>
    <col min="16147" max="16147" width="10.5703125" style="65" customWidth="1"/>
    <col min="16148" max="16148" width="12.42578125" style="65" customWidth="1"/>
    <col min="16149" max="16149" width="15.140625" style="65" customWidth="1"/>
    <col min="16150" max="16150" width="13.5703125" style="65" customWidth="1"/>
    <col min="16151" max="16151" width="13.140625" style="65" customWidth="1"/>
    <col min="16152" max="16152" width="15.7109375" style="65" customWidth="1"/>
    <col min="16153" max="16153" width="37.5703125" style="65" customWidth="1"/>
    <col min="16154" max="16384" width="11.42578125" style="65"/>
  </cols>
  <sheetData>
    <row r="1" spans="1:25" x14ac:dyDescent="0.25">
      <c r="C1" s="228" t="s">
        <v>185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6"/>
      <c r="X1" s="64"/>
      <c r="Y1" s="26"/>
    </row>
    <row r="2" spans="1:25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29"/>
      <c r="V2" s="26"/>
      <c r="W2" s="26"/>
      <c r="X2" s="64"/>
      <c r="Y2" s="26"/>
    </row>
    <row r="3" spans="1:25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186</v>
      </c>
      <c r="P3" s="21" t="s">
        <v>23</v>
      </c>
      <c r="Q3" s="21" t="s">
        <v>24</v>
      </c>
      <c r="R3" s="21" t="s">
        <v>25</v>
      </c>
      <c r="S3" s="21" t="s">
        <v>187</v>
      </c>
      <c r="T3" s="21" t="s">
        <v>26</v>
      </c>
      <c r="U3" s="21" t="s">
        <v>27</v>
      </c>
      <c r="V3" s="20" t="s">
        <v>28</v>
      </c>
      <c r="W3" s="20"/>
      <c r="X3" s="66"/>
      <c r="Y3" s="20" t="s">
        <v>29</v>
      </c>
    </row>
    <row r="4" spans="1:25" x14ac:dyDescent="0.25">
      <c r="A4" s="233"/>
      <c r="B4" s="26">
        <v>1</v>
      </c>
      <c r="C4" s="19" t="s">
        <v>31</v>
      </c>
      <c r="D4" s="20" t="s">
        <v>32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2" si="1">SUM(G4:I4)+J4</f>
        <v>4500000</v>
      </c>
      <c r="L4" s="22">
        <f t="shared" ref="L4:L43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/>
      <c r="U4" s="22">
        <f t="shared" ref="U4:U45" si="3">SUM(L4:T4)</f>
        <v>503752</v>
      </c>
      <c r="V4" s="23">
        <f>+K4-U4</f>
        <v>3996248</v>
      </c>
      <c r="W4" s="23"/>
      <c r="X4" s="64"/>
      <c r="Y4" s="23">
        <f t="shared" ref="Y4:Y67" si="4">V4+W4-X4</f>
        <v>3996248</v>
      </c>
    </row>
    <row r="5" spans="1:25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2" si="5">+G5*5%</f>
        <v>200000.00000000003</v>
      </c>
      <c r="N5" s="22"/>
      <c r="O5" s="22"/>
      <c r="P5" s="22">
        <v>31064</v>
      </c>
      <c r="Q5" s="22"/>
      <c r="R5" s="22"/>
      <c r="S5" s="22"/>
      <c r="T5" s="22"/>
      <c r="U5" s="22">
        <f t="shared" si="3"/>
        <v>391064.00000000006</v>
      </c>
      <c r="V5" s="23">
        <f>+K5-U5</f>
        <v>3608936.0000000005</v>
      </c>
      <c r="W5" s="23"/>
      <c r="X5" s="64"/>
      <c r="Y5" s="23">
        <f t="shared" si="4"/>
        <v>3608936.0000000005</v>
      </c>
    </row>
    <row r="6" spans="1:25" x14ac:dyDescent="0.25">
      <c r="A6" s="233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/>
      <c r="U6" s="22">
        <f t="shared" si="3"/>
        <v>315000</v>
      </c>
      <c r="V6" s="23">
        <f>+K6-U6</f>
        <v>4185000</v>
      </c>
      <c r="W6" s="23"/>
      <c r="X6" s="64"/>
      <c r="Y6" s="23">
        <f t="shared" si="4"/>
        <v>4185000</v>
      </c>
    </row>
    <row r="7" spans="1:25" x14ac:dyDescent="0.25">
      <c r="A7" s="233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/>
      <c r="T7" s="22"/>
      <c r="U7" s="22">
        <f t="shared" si="3"/>
        <v>573269</v>
      </c>
      <c r="V7" s="23">
        <f>+K7-U7</f>
        <v>4559731</v>
      </c>
      <c r="W7" s="23"/>
      <c r="X7" s="64"/>
      <c r="Y7" s="23">
        <f t="shared" si="4"/>
        <v>4559731</v>
      </c>
    </row>
    <row r="8" spans="1:25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/>
      <c r="U8" s="22">
        <f t="shared" si="3"/>
        <v>470971</v>
      </c>
      <c r="V8" s="23">
        <f>+K8-U8</f>
        <v>6014299</v>
      </c>
      <c r="W8" s="23"/>
      <c r="X8" s="64"/>
      <c r="Y8" s="23">
        <f t="shared" si="4"/>
        <v>6014299</v>
      </c>
    </row>
    <row r="9" spans="1:25" ht="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/>
      <c r="U9" s="22">
        <f t="shared" si="3"/>
        <v>380545</v>
      </c>
      <c r="V9" s="23">
        <f>K9-U9</f>
        <v>3819455</v>
      </c>
      <c r="W9" s="23"/>
      <c r="X9" s="64"/>
      <c r="Y9" s="23">
        <f t="shared" si="4"/>
        <v>3819455</v>
      </c>
    </row>
    <row r="10" spans="1:25" x14ac:dyDescent="0.25">
      <c r="A10" s="233"/>
      <c r="B10" s="26">
        <v>7</v>
      </c>
      <c r="C10" s="19" t="s">
        <v>41</v>
      </c>
      <c r="D10" s="20" t="s">
        <v>32</v>
      </c>
      <c r="E10" s="22">
        <v>5500000</v>
      </c>
      <c r="F10" s="22">
        <v>27</v>
      </c>
      <c r="G10" s="22">
        <f>E10/30*F10+366684</f>
        <v>5316684</v>
      </c>
      <c r="H10" s="22"/>
      <c r="I10" s="22"/>
      <c r="J10" s="22"/>
      <c r="K10" s="22">
        <f t="shared" si="1"/>
        <v>5316684</v>
      </c>
      <c r="L10" s="22">
        <f t="shared" si="2"/>
        <v>212667.36000000002</v>
      </c>
      <c r="M10" s="22">
        <f t="shared" si="5"/>
        <v>265834.2</v>
      </c>
      <c r="N10" s="22"/>
      <c r="O10" s="22"/>
      <c r="P10" s="25">
        <v>234000</v>
      </c>
      <c r="Q10" s="22"/>
      <c r="R10" s="22"/>
      <c r="S10" s="22"/>
      <c r="T10" s="22"/>
      <c r="U10" s="22">
        <f t="shared" si="3"/>
        <v>712501.56</v>
      </c>
      <c r="V10" s="23">
        <f>K10-U10</f>
        <v>4604182.4399999995</v>
      </c>
      <c r="W10" s="23"/>
      <c r="X10" s="64"/>
      <c r="Y10" s="23">
        <f t="shared" si="4"/>
        <v>4604182.4399999995</v>
      </c>
    </row>
    <row r="11" spans="1:25" x14ac:dyDescent="0.25">
      <c r="A11" s="233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/>
      <c r="U11" s="22">
        <f t="shared" si="3"/>
        <v>456248</v>
      </c>
      <c r="V11" s="23">
        <f t="shared" ref="V11:V15" si="6">+K11-U11</f>
        <v>4679752</v>
      </c>
      <c r="W11" s="23"/>
      <c r="X11" s="64"/>
      <c r="Y11" s="23">
        <f t="shared" si="4"/>
        <v>4679752</v>
      </c>
    </row>
    <row r="12" spans="1:25" x14ac:dyDescent="0.25">
      <c r="A12" s="233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/>
      <c r="U12" s="22">
        <f t="shared" si="3"/>
        <v>337050</v>
      </c>
      <c r="V12" s="23">
        <f t="shared" si="6"/>
        <v>3942950</v>
      </c>
      <c r="W12" s="23"/>
      <c r="X12" s="64"/>
      <c r="Y12" s="23">
        <f t="shared" si="4"/>
        <v>3942950</v>
      </c>
    </row>
    <row r="13" spans="1:25" x14ac:dyDescent="0.25">
      <c r="A13" s="233"/>
      <c r="B13" s="26">
        <v>10</v>
      </c>
      <c r="C13" s="30" t="s">
        <v>172</v>
      </c>
      <c r="D13" s="26" t="s">
        <v>32</v>
      </c>
      <c r="E13" s="22">
        <v>4500000</v>
      </c>
      <c r="F13" s="22">
        <v>30</v>
      </c>
      <c r="G13" s="22">
        <f t="shared" si="7"/>
        <v>4500000</v>
      </c>
      <c r="H13" s="22"/>
      <c r="I13" s="22"/>
      <c r="J13" s="22"/>
      <c r="K13" s="22">
        <f t="shared" si="1"/>
        <v>4500000</v>
      </c>
      <c r="L13" s="22">
        <f t="shared" si="2"/>
        <v>180000</v>
      </c>
      <c r="M13" s="22">
        <f t="shared" si="5"/>
        <v>225000</v>
      </c>
      <c r="N13" s="22"/>
      <c r="O13" s="22"/>
      <c r="P13" s="22">
        <v>98752</v>
      </c>
      <c r="Q13" s="22"/>
      <c r="R13" s="22"/>
      <c r="S13" s="22">
        <v>191750</v>
      </c>
      <c r="T13" s="22"/>
      <c r="U13" s="22">
        <f t="shared" si="3"/>
        <v>695502</v>
      </c>
      <c r="V13" s="23">
        <f t="shared" si="6"/>
        <v>3804498</v>
      </c>
      <c r="W13" s="23"/>
      <c r="X13" s="64"/>
      <c r="Y13" s="23">
        <f t="shared" si="4"/>
        <v>3804498</v>
      </c>
    </row>
    <row r="14" spans="1:25" x14ac:dyDescent="0.25">
      <c r="A14" s="233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/>
      <c r="U14" s="22">
        <f t="shared" si="3"/>
        <v>1045521</v>
      </c>
      <c r="V14" s="23">
        <f t="shared" si="6"/>
        <v>4454479</v>
      </c>
      <c r="W14" s="23"/>
      <c r="X14" s="64"/>
      <c r="Y14" s="23">
        <f t="shared" si="4"/>
        <v>4454479</v>
      </c>
    </row>
    <row r="15" spans="1:25" ht="21.75" customHeight="1" x14ac:dyDescent="0.25">
      <c r="A15" s="233"/>
      <c r="B15" s="26">
        <v>12</v>
      </c>
      <c r="C15" s="19" t="s">
        <v>51</v>
      </c>
      <c r="D15" s="20" t="s">
        <v>32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/>
      <c r="Q15" s="22"/>
      <c r="R15" s="22"/>
      <c r="S15" s="22"/>
      <c r="T15" s="22"/>
      <c r="U15" s="22">
        <f t="shared" si="3"/>
        <v>315000</v>
      </c>
      <c r="V15" s="23">
        <f t="shared" si="6"/>
        <v>3185000</v>
      </c>
      <c r="W15" s="23"/>
      <c r="X15" s="64"/>
      <c r="Y15" s="23">
        <f t="shared" si="4"/>
        <v>3185000</v>
      </c>
    </row>
    <row r="16" spans="1:25" ht="24" x14ac:dyDescent="0.25">
      <c r="A16" s="233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 t="shared" ref="G16" si="8">E16/30*F16</f>
        <v>5000000</v>
      </c>
      <c r="H16" s="22">
        <v>90000</v>
      </c>
      <c r="I16" s="22">
        <v>900000</v>
      </c>
      <c r="J16" s="22"/>
      <c r="K16" s="22">
        <f t="shared" si="1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/>
      <c r="U16" s="22">
        <f t="shared" si="3"/>
        <v>548752</v>
      </c>
      <c r="V16" s="23">
        <f>K16-U16</f>
        <v>5441248</v>
      </c>
      <c r="W16" s="23"/>
      <c r="X16" s="64"/>
      <c r="Y16" s="23">
        <f t="shared" si="4"/>
        <v>5441248</v>
      </c>
    </row>
    <row r="17" spans="1:25" x14ac:dyDescent="0.25">
      <c r="A17" s="233"/>
      <c r="B17" s="26">
        <v>14</v>
      </c>
      <c r="C17" s="19" t="s">
        <v>52</v>
      </c>
      <c r="D17" s="20" t="s">
        <v>32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>
        <v>194800</v>
      </c>
      <c r="T17" s="22"/>
      <c r="U17" s="22">
        <f t="shared" si="3"/>
        <v>1031232</v>
      </c>
      <c r="V17" s="23">
        <f>+K17-U17</f>
        <v>3768768</v>
      </c>
      <c r="W17" s="23"/>
      <c r="X17" s="64"/>
      <c r="Y17" s="23">
        <f t="shared" si="4"/>
        <v>3768768</v>
      </c>
    </row>
    <row r="18" spans="1:25" x14ac:dyDescent="0.25">
      <c r="A18" s="233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9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>
        <v>403481.96</v>
      </c>
      <c r="T18" s="22"/>
      <c r="U18" s="22">
        <f t="shared" si="3"/>
        <v>993314.96</v>
      </c>
      <c r="V18" s="23">
        <f>K18-U18</f>
        <v>4006685.04</v>
      </c>
      <c r="W18" s="23"/>
      <c r="X18" s="64"/>
      <c r="Y18" s="23">
        <f t="shared" si="4"/>
        <v>4006685.04</v>
      </c>
    </row>
    <row r="19" spans="1:25" x14ac:dyDescent="0.25">
      <c r="A19" s="233"/>
      <c r="B19" s="26">
        <v>16</v>
      </c>
      <c r="C19" s="19" t="s">
        <v>58</v>
      </c>
      <c r="D19" s="20" t="s">
        <v>32</v>
      </c>
      <c r="E19" s="22">
        <v>4000000</v>
      </c>
      <c r="F19" s="22">
        <v>30</v>
      </c>
      <c r="G19" s="22">
        <f t="shared" si="9"/>
        <v>4000000.0000000005</v>
      </c>
      <c r="H19" s="22"/>
      <c r="I19" s="22"/>
      <c r="J19" s="22"/>
      <c r="K19" s="22">
        <f t="shared" si="1"/>
        <v>4000000.0000000005</v>
      </c>
      <c r="L19" s="22">
        <f t="shared" si="2"/>
        <v>160000.00000000003</v>
      </c>
      <c r="M19" s="22">
        <f t="shared" si="5"/>
        <v>200000.00000000003</v>
      </c>
      <c r="N19" s="22"/>
      <c r="O19" s="22"/>
      <c r="P19" s="25">
        <v>31064</v>
      </c>
      <c r="Q19" s="22"/>
      <c r="R19" s="22"/>
      <c r="S19" s="22"/>
      <c r="T19" s="22"/>
      <c r="U19" s="22">
        <f t="shared" si="3"/>
        <v>391064.00000000006</v>
      </c>
      <c r="V19" s="23">
        <f>K19-U19</f>
        <v>3608936.0000000005</v>
      </c>
      <c r="W19" s="23"/>
      <c r="X19" s="64"/>
      <c r="Y19" s="23">
        <f t="shared" si="4"/>
        <v>3608936.0000000005</v>
      </c>
    </row>
    <row r="20" spans="1:25" x14ac:dyDescent="0.25">
      <c r="A20" s="233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9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/>
      <c r="T20" s="22">
        <f>884747</f>
        <v>884747</v>
      </c>
      <c r="U20" s="22">
        <f t="shared" si="3"/>
        <v>2098718</v>
      </c>
      <c r="V20" s="23">
        <f>+K20-U20</f>
        <v>3995199</v>
      </c>
      <c r="W20" s="23"/>
      <c r="X20" s="64"/>
      <c r="Y20" s="23">
        <f t="shared" si="4"/>
        <v>3995199</v>
      </c>
    </row>
    <row r="21" spans="1:25" x14ac:dyDescent="0.25">
      <c r="A21" s="233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9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/>
      <c r="U21" s="22">
        <f t="shared" si="3"/>
        <v>549500</v>
      </c>
      <c r="V21" s="23">
        <f>+K21-U21</f>
        <v>3450500.0000000005</v>
      </c>
      <c r="W21" s="23"/>
      <c r="X21" s="64"/>
      <c r="Y21" s="23">
        <f t="shared" si="4"/>
        <v>3450500.0000000005</v>
      </c>
    </row>
    <row r="22" spans="1:25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9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/>
      <c r="T22" s="22"/>
      <c r="U22" s="22">
        <f t="shared" si="3"/>
        <v>596971.75</v>
      </c>
      <c r="V22" s="23">
        <f>K22-U22</f>
        <v>4434703.25</v>
      </c>
      <c r="W22" s="23"/>
      <c r="X22" s="64"/>
      <c r="Y22" s="23">
        <f t="shared" si="4"/>
        <v>4434703.25</v>
      </c>
    </row>
    <row r="23" spans="1:25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9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/>
      <c r="U23" s="22">
        <f t="shared" si="3"/>
        <v>504000</v>
      </c>
      <c r="V23" s="23">
        <f>K23-U23</f>
        <v>4296000</v>
      </c>
      <c r="W23" s="23"/>
      <c r="X23" s="64"/>
      <c r="Y23" s="23">
        <f t="shared" si="4"/>
        <v>4296000</v>
      </c>
    </row>
    <row r="24" spans="1:25" x14ac:dyDescent="0.25">
      <c r="A24" s="233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8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/>
      <c r="U24" s="22">
        <f t="shared" si="3"/>
        <v>477146</v>
      </c>
      <c r="V24" s="23">
        <f>K24-U24</f>
        <v>4022854</v>
      </c>
      <c r="W24" s="23"/>
      <c r="X24" s="64"/>
      <c r="Y24" s="23">
        <f t="shared" si="4"/>
        <v>4022854</v>
      </c>
    </row>
    <row r="25" spans="1:25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f t="shared" si="2"/>
        <v>160000.00000000003</v>
      </c>
      <c r="M25" s="22">
        <f t="shared" si="5"/>
        <v>200000.00000000003</v>
      </c>
      <c r="N25" s="22"/>
      <c r="O25" s="22">
        <v>276500</v>
      </c>
      <c r="P25" s="25">
        <v>31064</v>
      </c>
      <c r="Q25" s="22"/>
      <c r="R25" s="22"/>
      <c r="S25" s="22"/>
      <c r="T25" s="22"/>
      <c r="U25" s="22">
        <f t="shared" si="3"/>
        <v>667564</v>
      </c>
      <c r="V25" s="23">
        <f>K25-U25</f>
        <v>3332436.0000000005</v>
      </c>
      <c r="W25" s="23"/>
      <c r="X25" s="64"/>
      <c r="Y25" s="23">
        <f t="shared" si="4"/>
        <v>3332436.0000000005</v>
      </c>
    </row>
    <row r="26" spans="1:25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/>
      <c r="U26" s="22">
        <f t="shared" si="3"/>
        <v>715854</v>
      </c>
      <c r="V26" s="23">
        <f t="shared" ref="V26:V31" si="11">+K26-U26</f>
        <v>4420146</v>
      </c>
      <c r="W26" s="23"/>
      <c r="X26" s="64"/>
      <c r="Y26" s="23">
        <f t="shared" si="4"/>
        <v>4420146</v>
      </c>
    </row>
    <row r="27" spans="1:25" ht="24" x14ac:dyDescent="0.25">
      <c r="A27" s="233"/>
      <c r="B27" s="26">
        <v>24</v>
      </c>
      <c r="C27" s="19" t="s">
        <v>71</v>
      </c>
      <c r="D27" s="20" t="s">
        <v>32</v>
      </c>
      <c r="E27" s="22">
        <v>4500000</v>
      </c>
      <c r="F27" s="22">
        <v>30</v>
      </c>
      <c r="G27" s="22">
        <f t="shared" si="10"/>
        <v>4500000</v>
      </c>
      <c r="H27" s="22"/>
      <c r="I27" s="22"/>
      <c r="J27" s="22"/>
      <c r="K27" s="22">
        <f t="shared" si="1"/>
        <v>4500000</v>
      </c>
      <c r="L27" s="22">
        <f t="shared" si="2"/>
        <v>180000</v>
      </c>
      <c r="M27" s="22">
        <f t="shared" si="5"/>
        <v>225000</v>
      </c>
      <c r="N27" s="22"/>
      <c r="O27" s="22"/>
      <c r="P27" s="22">
        <v>99000</v>
      </c>
      <c r="Q27" s="22"/>
      <c r="R27" s="22"/>
      <c r="S27" s="22"/>
      <c r="T27" s="22"/>
      <c r="U27" s="22">
        <f t="shared" si="3"/>
        <v>504000</v>
      </c>
      <c r="V27" s="23">
        <f t="shared" si="11"/>
        <v>3996000</v>
      </c>
      <c r="W27" s="23"/>
      <c r="X27" s="64"/>
      <c r="Y27" s="23">
        <f t="shared" si="4"/>
        <v>3996000</v>
      </c>
    </row>
    <row r="28" spans="1:25" x14ac:dyDescent="0.25">
      <c r="A28" s="233"/>
      <c r="B28" s="26">
        <v>25</v>
      </c>
      <c r="C28" s="19" t="s">
        <v>72</v>
      </c>
      <c r="D28" s="20" t="s">
        <v>32</v>
      </c>
      <c r="E28" s="22">
        <v>4023250</v>
      </c>
      <c r="F28" s="22">
        <v>30</v>
      </c>
      <c r="G28" s="22">
        <f t="shared" si="10"/>
        <v>4023250.0000000005</v>
      </c>
      <c r="H28" s="22"/>
      <c r="I28" s="22"/>
      <c r="J28" s="22"/>
      <c r="K28" s="22">
        <f t="shared" si="1"/>
        <v>4023250.0000000005</v>
      </c>
      <c r="L28" s="22">
        <f t="shared" si="2"/>
        <v>160930.00000000003</v>
      </c>
      <c r="M28" s="22">
        <f t="shared" si="5"/>
        <v>201162.50000000003</v>
      </c>
      <c r="N28" s="22"/>
      <c r="O28" s="22"/>
      <c r="P28" s="22">
        <v>2545</v>
      </c>
      <c r="Q28" s="22"/>
      <c r="R28" s="22"/>
      <c r="S28" s="22"/>
      <c r="T28" s="22"/>
      <c r="U28" s="22">
        <f t="shared" si="3"/>
        <v>364637.50000000006</v>
      </c>
      <c r="V28" s="23">
        <f t="shared" si="11"/>
        <v>3658612.5000000005</v>
      </c>
      <c r="W28" s="23"/>
      <c r="X28" s="64"/>
      <c r="Y28" s="23">
        <f t="shared" si="4"/>
        <v>3658612.5000000005</v>
      </c>
    </row>
    <row r="29" spans="1:25" x14ac:dyDescent="0.25">
      <c r="A29" s="233"/>
      <c r="B29" s="26">
        <v>26</v>
      </c>
      <c r="C29" s="19" t="s">
        <v>74</v>
      </c>
      <c r="D29" s="20" t="s">
        <v>32</v>
      </c>
      <c r="E29" s="22">
        <v>6912675</v>
      </c>
      <c r="F29" s="22">
        <v>30</v>
      </c>
      <c r="G29" s="22">
        <f t="shared" si="10"/>
        <v>6912675</v>
      </c>
      <c r="H29" s="22"/>
      <c r="I29" s="22"/>
      <c r="J29" s="22"/>
      <c r="K29" s="22">
        <f t="shared" si="1"/>
        <v>6912675</v>
      </c>
      <c r="L29" s="22">
        <f t="shared" si="2"/>
        <v>276507</v>
      </c>
      <c r="M29" s="22">
        <f t="shared" si="5"/>
        <v>345633.75</v>
      </c>
      <c r="N29" s="22"/>
      <c r="O29" s="22"/>
      <c r="P29" s="25">
        <v>143706</v>
      </c>
      <c r="Q29" s="22">
        <v>400000</v>
      </c>
      <c r="R29" s="22"/>
      <c r="S29" s="22"/>
      <c r="T29" s="22"/>
      <c r="U29" s="22">
        <f t="shared" si="3"/>
        <v>1165846.75</v>
      </c>
      <c r="V29" s="23">
        <f t="shared" si="11"/>
        <v>5746828.25</v>
      </c>
      <c r="W29" s="23"/>
      <c r="X29" s="64"/>
      <c r="Y29" s="23">
        <f t="shared" si="4"/>
        <v>5746828.25</v>
      </c>
    </row>
    <row r="30" spans="1:25" ht="24" x14ac:dyDescent="0.25">
      <c r="A30" s="233"/>
      <c r="B30" s="26">
        <v>27</v>
      </c>
      <c r="C30" s="19" t="s">
        <v>76</v>
      </c>
      <c r="D30" s="20" t="s">
        <v>32</v>
      </c>
      <c r="E30" s="22">
        <v>4000000</v>
      </c>
      <c r="F30" s="22">
        <v>30</v>
      </c>
      <c r="G30" s="22">
        <f t="shared" si="10"/>
        <v>4000000.0000000005</v>
      </c>
      <c r="H30" s="22"/>
      <c r="I30" s="22">
        <v>500000</v>
      </c>
      <c r="J30" s="22"/>
      <c r="K30" s="22">
        <f t="shared" si="1"/>
        <v>4500000</v>
      </c>
      <c r="L30" s="22">
        <f t="shared" si="2"/>
        <v>160000.00000000003</v>
      </c>
      <c r="M30" s="22">
        <f t="shared" si="5"/>
        <v>200000.00000000003</v>
      </c>
      <c r="N30" s="22"/>
      <c r="O30" s="22"/>
      <c r="P30" s="22">
        <v>4458</v>
      </c>
      <c r="Q30" s="22"/>
      <c r="R30" s="22"/>
      <c r="S30" s="22"/>
      <c r="T30" s="22">
        <v>551399</v>
      </c>
      <c r="U30" s="22">
        <f t="shared" si="3"/>
        <v>915857</v>
      </c>
      <c r="V30" s="23">
        <f t="shared" si="11"/>
        <v>3584143</v>
      </c>
      <c r="W30" s="23"/>
      <c r="X30" s="64"/>
      <c r="Y30" s="23">
        <f t="shared" si="4"/>
        <v>3584143</v>
      </c>
    </row>
    <row r="31" spans="1:25" ht="24" x14ac:dyDescent="0.25">
      <c r="A31" s="233"/>
      <c r="B31" s="26">
        <v>28</v>
      </c>
      <c r="C31" s="19" t="s">
        <v>91</v>
      </c>
      <c r="D31" s="20" t="s">
        <v>32</v>
      </c>
      <c r="E31" s="22">
        <v>4500000</v>
      </c>
      <c r="F31" s="22">
        <v>30</v>
      </c>
      <c r="G31" s="22">
        <f t="shared" si="10"/>
        <v>4500000</v>
      </c>
      <c r="H31" s="22"/>
      <c r="I31" s="22"/>
      <c r="J31" s="22"/>
      <c r="K31" s="22">
        <f t="shared" si="1"/>
        <v>4500000</v>
      </c>
      <c r="L31" s="22">
        <f t="shared" si="2"/>
        <v>180000</v>
      </c>
      <c r="M31" s="22">
        <f t="shared" si="5"/>
        <v>225000</v>
      </c>
      <c r="N31" s="22"/>
      <c r="O31" s="22"/>
      <c r="P31" s="22">
        <v>34627</v>
      </c>
      <c r="Q31" s="22"/>
      <c r="R31" s="22"/>
      <c r="S31" s="22"/>
      <c r="T31" s="22"/>
      <c r="U31" s="22">
        <f t="shared" si="3"/>
        <v>439627</v>
      </c>
      <c r="V31" s="23">
        <f t="shared" si="11"/>
        <v>4060373</v>
      </c>
      <c r="W31" s="23"/>
      <c r="X31" s="64"/>
      <c r="Y31" s="23">
        <f t="shared" si="4"/>
        <v>4060373</v>
      </c>
    </row>
    <row r="32" spans="1:25" x14ac:dyDescent="0.25">
      <c r="A32" s="233"/>
      <c r="B32" s="26">
        <v>29</v>
      </c>
      <c r="C32" s="30" t="s">
        <v>80</v>
      </c>
      <c r="D32" s="26" t="s">
        <v>32</v>
      </c>
      <c r="E32" s="22">
        <v>4500000</v>
      </c>
      <c r="F32" s="22">
        <v>30</v>
      </c>
      <c r="G32" s="22">
        <f t="shared" si="10"/>
        <v>4500000</v>
      </c>
      <c r="H32" s="22"/>
      <c r="I32" s="22"/>
      <c r="J32" s="22"/>
      <c r="K32" s="22">
        <f t="shared" si="1"/>
        <v>4500000</v>
      </c>
      <c r="L32" s="22">
        <f t="shared" si="2"/>
        <v>180000</v>
      </c>
      <c r="M32" s="22">
        <f t="shared" si="5"/>
        <v>225000</v>
      </c>
      <c r="N32" s="22"/>
      <c r="O32" s="22"/>
      <c r="P32" s="22">
        <v>34627</v>
      </c>
      <c r="Q32" s="22"/>
      <c r="R32" s="22"/>
      <c r="S32" s="22"/>
      <c r="T32" s="22"/>
      <c r="U32" s="22">
        <f t="shared" si="3"/>
        <v>439627</v>
      </c>
      <c r="V32" s="23">
        <f>K32-U32</f>
        <v>4060373</v>
      </c>
      <c r="W32" s="23"/>
      <c r="X32" s="64"/>
      <c r="Y32" s="23">
        <f t="shared" si="4"/>
        <v>4060373</v>
      </c>
    </row>
    <row r="33" spans="1:26" ht="24" x14ac:dyDescent="0.25">
      <c r="A33" s="233"/>
      <c r="B33" s="26">
        <v>30</v>
      </c>
      <c r="C33" s="19" t="s">
        <v>85</v>
      </c>
      <c r="D33" s="20" t="s">
        <v>32</v>
      </c>
      <c r="E33" s="22">
        <v>5500000</v>
      </c>
      <c r="F33" s="22">
        <v>30</v>
      </c>
      <c r="G33" s="22">
        <f>+E33/30*F33</f>
        <v>5500000</v>
      </c>
      <c r="H33" s="22"/>
      <c r="I33" s="22"/>
      <c r="J33" s="22"/>
      <c r="K33" s="22">
        <f t="shared" ref="K33:K91" si="12">SUM(G33:I33)+J33</f>
        <v>5500000</v>
      </c>
      <c r="L33" s="22">
        <f t="shared" si="2"/>
        <v>220000</v>
      </c>
      <c r="M33" s="22">
        <f t="shared" si="5"/>
        <v>275000</v>
      </c>
      <c r="N33" s="22"/>
      <c r="O33" s="22"/>
      <c r="P33" s="22">
        <v>129146</v>
      </c>
      <c r="Q33" s="22"/>
      <c r="R33" s="22"/>
      <c r="S33" s="22"/>
      <c r="T33" s="22"/>
      <c r="U33" s="22">
        <f t="shared" si="3"/>
        <v>624146</v>
      </c>
      <c r="V33" s="23">
        <f>+K33-U33</f>
        <v>4875854</v>
      </c>
      <c r="W33" s="23"/>
      <c r="X33" s="64"/>
      <c r="Y33" s="23">
        <f t="shared" si="4"/>
        <v>4875854</v>
      </c>
    </row>
    <row r="34" spans="1:26" x14ac:dyDescent="0.25">
      <c r="A34" s="233"/>
      <c r="B34" s="26">
        <v>31</v>
      </c>
      <c r="C34" s="30" t="s">
        <v>82</v>
      </c>
      <c r="D34" s="26" t="s">
        <v>32</v>
      </c>
      <c r="E34" s="22">
        <v>5350000</v>
      </c>
      <c r="F34" s="22">
        <v>28</v>
      </c>
      <c r="G34" s="22">
        <f t="shared" si="10"/>
        <v>4993333.333333334</v>
      </c>
      <c r="H34" s="22"/>
      <c r="I34" s="22">
        <v>428000</v>
      </c>
      <c r="J34" s="22">
        <v>356667</v>
      </c>
      <c r="K34" s="22">
        <f t="shared" si="12"/>
        <v>5778000.333333334</v>
      </c>
      <c r="L34" s="22">
        <v>214000</v>
      </c>
      <c r="M34" s="22">
        <v>267500</v>
      </c>
      <c r="N34" s="22"/>
      <c r="O34" s="22"/>
      <c r="P34" s="22">
        <v>187215</v>
      </c>
      <c r="Q34" s="22"/>
      <c r="R34" s="22"/>
      <c r="S34" s="22"/>
      <c r="T34" s="22"/>
      <c r="U34" s="22">
        <f t="shared" si="3"/>
        <v>668715</v>
      </c>
      <c r="V34" s="23">
        <f>K34-U34</f>
        <v>5109285.333333334</v>
      </c>
      <c r="W34" s="23"/>
      <c r="X34" s="64"/>
      <c r="Y34" s="23">
        <f t="shared" si="4"/>
        <v>5109285.333333334</v>
      </c>
    </row>
    <row r="35" spans="1:26" x14ac:dyDescent="0.25">
      <c r="A35" s="233"/>
      <c r="B35" s="26">
        <v>32</v>
      </c>
      <c r="C35" s="19" t="s">
        <v>92</v>
      </c>
      <c r="D35" s="20" t="s">
        <v>32</v>
      </c>
      <c r="E35" s="22">
        <v>5000000</v>
      </c>
      <c r="F35" s="22">
        <v>30</v>
      </c>
      <c r="G35" s="22">
        <f t="shared" si="10"/>
        <v>5000000</v>
      </c>
      <c r="H35" s="22"/>
      <c r="I35" s="22"/>
      <c r="J35" s="22"/>
      <c r="K35" s="22">
        <f t="shared" si="12"/>
        <v>5000000</v>
      </c>
      <c r="L35" s="22">
        <f t="shared" si="2"/>
        <v>200000</v>
      </c>
      <c r="M35" s="22">
        <f t="shared" si="5"/>
        <v>250000</v>
      </c>
      <c r="N35" s="22"/>
      <c r="O35" s="22"/>
      <c r="P35" s="22">
        <v>139833</v>
      </c>
      <c r="Q35" s="22"/>
      <c r="R35" s="22"/>
      <c r="S35" s="22"/>
      <c r="T35" s="22"/>
      <c r="U35" s="22">
        <f t="shared" si="3"/>
        <v>589833</v>
      </c>
      <c r="V35" s="23">
        <f>+K35-U35</f>
        <v>4410167</v>
      </c>
      <c r="W35" s="23"/>
      <c r="X35" s="64"/>
      <c r="Y35" s="23">
        <f t="shared" si="4"/>
        <v>4410167</v>
      </c>
    </row>
    <row r="36" spans="1:26" x14ac:dyDescent="0.25">
      <c r="A36" s="233"/>
      <c r="B36" s="26">
        <v>33</v>
      </c>
      <c r="C36" s="19" t="s">
        <v>78</v>
      </c>
      <c r="D36" s="20" t="s">
        <v>32</v>
      </c>
      <c r="E36" s="22">
        <v>4000000</v>
      </c>
      <c r="F36" s="22">
        <v>30</v>
      </c>
      <c r="G36" s="22">
        <f t="shared" si="10"/>
        <v>4000000.0000000005</v>
      </c>
      <c r="H36" s="22"/>
      <c r="I36" s="22"/>
      <c r="J36" s="22"/>
      <c r="K36" s="22">
        <f t="shared" si="12"/>
        <v>4000000.0000000005</v>
      </c>
      <c r="L36" s="22">
        <f t="shared" si="2"/>
        <v>160000.00000000003</v>
      </c>
      <c r="M36" s="22">
        <f t="shared" si="5"/>
        <v>200000.00000000003</v>
      </c>
      <c r="N36" s="22"/>
      <c r="O36" s="22">
        <v>144500</v>
      </c>
      <c r="P36" s="22">
        <v>0</v>
      </c>
      <c r="Q36" s="22"/>
      <c r="R36" s="22"/>
      <c r="S36" s="22"/>
      <c r="T36" s="22"/>
      <c r="U36" s="22">
        <f t="shared" si="3"/>
        <v>504500.00000000006</v>
      </c>
      <c r="V36" s="23">
        <f>+K36-U36</f>
        <v>3495500.0000000005</v>
      </c>
      <c r="W36" s="23"/>
      <c r="X36" s="64"/>
      <c r="Y36" s="23">
        <f t="shared" si="4"/>
        <v>3495500.0000000005</v>
      </c>
    </row>
    <row r="37" spans="1:26" ht="26.25" customHeight="1" x14ac:dyDescent="0.25">
      <c r="A37" s="233"/>
      <c r="B37" s="26">
        <v>34</v>
      </c>
      <c r="C37" s="19" t="s">
        <v>87</v>
      </c>
      <c r="D37" s="20" t="s">
        <v>32</v>
      </c>
      <c r="E37" s="22">
        <v>4500000</v>
      </c>
      <c r="F37" s="22">
        <v>30</v>
      </c>
      <c r="G37" s="22">
        <f t="shared" si="10"/>
        <v>4500000</v>
      </c>
      <c r="H37" s="22"/>
      <c r="I37" s="22"/>
      <c r="J37" s="22"/>
      <c r="K37" s="22">
        <f t="shared" si="12"/>
        <v>4500000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99000</v>
      </c>
      <c r="Q37" s="22"/>
      <c r="R37" s="22"/>
      <c r="S37" s="22"/>
      <c r="T37" s="22"/>
      <c r="U37" s="22">
        <f t="shared" si="3"/>
        <v>504000</v>
      </c>
      <c r="V37" s="23">
        <f>+K37-U37</f>
        <v>3996000</v>
      </c>
      <c r="W37" s="23"/>
      <c r="X37" s="64"/>
      <c r="Y37" s="23">
        <f t="shared" si="4"/>
        <v>3996000</v>
      </c>
    </row>
    <row r="38" spans="1:26" ht="24" x14ac:dyDescent="0.25">
      <c r="A38" s="233"/>
      <c r="B38" s="26">
        <v>35</v>
      </c>
      <c r="C38" s="19" t="s">
        <v>89</v>
      </c>
      <c r="D38" s="20" t="s">
        <v>32</v>
      </c>
      <c r="E38" s="22">
        <v>2500000</v>
      </c>
      <c r="F38" s="22">
        <v>30</v>
      </c>
      <c r="G38" s="22">
        <f t="shared" si="10"/>
        <v>2500000</v>
      </c>
      <c r="H38" s="22"/>
      <c r="I38" s="22"/>
      <c r="J38" s="22"/>
      <c r="K38" s="22">
        <f t="shared" si="12"/>
        <v>2500000</v>
      </c>
      <c r="L38" s="22">
        <f t="shared" si="2"/>
        <v>100000</v>
      </c>
      <c r="M38" s="22">
        <f t="shared" ref="M38:M43" si="13">+G38*4%</f>
        <v>100000</v>
      </c>
      <c r="N38" s="22"/>
      <c r="O38" s="22">
        <v>120500</v>
      </c>
      <c r="P38" s="22"/>
      <c r="Q38" s="22"/>
      <c r="R38" s="22"/>
      <c r="S38" s="22"/>
      <c r="T38" s="22"/>
      <c r="U38" s="22">
        <f t="shared" si="3"/>
        <v>320500</v>
      </c>
      <c r="V38" s="23">
        <f>+K38-U38</f>
        <v>2179500</v>
      </c>
      <c r="W38" s="23"/>
      <c r="X38" s="64"/>
      <c r="Y38" s="23">
        <f t="shared" si="4"/>
        <v>2179500</v>
      </c>
    </row>
    <row r="39" spans="1:26" x14ac:dyDescent="0.25">
      <c r="A39" s="233"/>
      <c r="B39" s="26">
        <v>36</v>
      </c>
      <c r="C39" s="19" t="s">
        <v>90</v>
      </c>
      <c r="D39" s="20" t="s">
        <v>32</v>
      </c>
      <c r="E39" s="22">
        <v>4500000</v>
      </c>
      <c r="F39" s="22">
        <v>30</v>
      </c>
      <c r="G39" s="22">
        <f t="shared" si="10"/>
        <v>4500000</v>
      </c>
      <c r="H39" s="22"/>
      <c r="I39" s="22">
        <v>300000</v>
      </c>
      <c r="J39" s="22"/>
      <c r="K39" s="22">
        <f t="shared" si="12"/>
        <v>4800000</v>
      </c>
      <c r="L39" s="22">
        <f t="shared" si="2"/>
        <v>180000</v>
      </c>
      <c r="M39" s="22">
        <f t="shared" si="5"/>
        <v>225000</v>
      </c>
      <c r="N39" s="22"/>
      <c r="O39" s="22"/>
      <c r="P39" s="22">
        <v>8021</v>
      </c>
      <c r="Q39" s="22"/>
      <c r="R39" s="22"/>
      <c r="S39" s="22"/>
      <c r="T39" s="22"/>
      <c r="U39" s="22">
        <f t="shared" si="3"/>
        <v>413021</v>
      </c>
      <c r="V39" s="23">
        <f>+K39-U39</f>
        <v>4386979</v>
      </c>
      <c r="W39" s="23"/>
      <c r="X39" s="64"/>
      <c r="Y39" s="23">
        <f t="shared" si="4"/>
        <v>4386979</v>
      </c>
    </row>
    <row r="40" spans="1:26" ht="30.75" customHeight="1" x14ac:dyDescent="0.25">
      <c r="A40" s="233"/>
      <c r="B40" s="26">
        <v>37</v>
      </c>
      <c r="C40" s="19" t="s">
        <v>94</v>
      </c>
      <c r="D40" s="20" t="s">
        <v>32</v>
      </c>
      <c r="E40" s="22">
        <v>4815000</v>
      </c>
      <c r="F40" s="22">
        <v>30</v>
      </c>
      <c r="G40" s="22">
        <f t="shared" si="10"/>
        <v>4815000</v>
      </c>
      <c r="H40" s="22"/>
      <c r="I40" s="22">
        <v>350000</v>
      </c>
      <c r="J40" s="22"/>
      <c r="K40" s="22">
        <f t="shared" si="12"/>
        <v>5165000</v>
      </c>
      <c r="L40" s="22">
        <f t="shared" si="2"/>
        <v>192600</v>
      </c>
      <c r="M40" s="22">
        <f t="shared" si="5"/>
        <v>240750</v>
      </c>
      <c r="N40" s="22"/>
      <c r="O40" s="22"/>
      <c r="P40" s="22">
        <v>89000</v>
      </c>
      <c r="Q40" s="22"/>
      <c r="R40" s="22"/>
      <c r="S40" s="22"/>
      <c r="T40" s="22"/>
      <c r="U40" s="22">
        <f t="shared" si="3"/>
        <v>522350</v>
      </c>
      <c r="V40" s="23">
        <f>K40-U40</f>
        <v>4642650</v>
      </c>
      <c r="W40" s="23"/>
      <c r="X40" s="64"/>
      <c r="Y40" s="23">
        <f t="shared" si="4"/>
        <v>4642650</v>
      </c>
      <c r="Z40" s="77">
        <f>+V40-4321650</f>
        <v>321000</v>
      </c>
    </row>
    <row r="41" spans="1:26" x14ac:dyDescent="0.25">
      <c r="A41" s="233"/>
      <c r="B41" s="26">
        <v>38</v>
      </c>
      <c r="C41" s="19" t="s">
        <v>96</v>
      </c>
      <c r="D41" s="20" t="s">
        <v>32</v>
      </c>
      <c r="E41" s="22">
        <v>6900000</v>
      </c>
      <c r="F41" s="22">
        <v>30</v>
      </c>
      <c r="G41" s="22">
        <f t="shared" si="10"/>
        <v>6900000</v>
      </c>
      <c r="H41" s="22"/>
      <c r="I41" s="22"/>
      <c r="J41" s="22"/>
      <c r="K41" s="22">
        <f t="shared" si="12"/>
        <v>6900000</v>
      </c>
      <c r="L41" s="22">
        <v>276000</v>
      </c>
      <c r="M41" s="22">
        <v>345000</v>
      </c>
      <c r="N41" s="22"/>
      <c r="O41" s="22"/>
      <c r="P41" s="22">
        <v>88069</v>
      </c>
      <c r="Q41" s="22">
        <v>1500000</v>
      </c>
      <c r="R41" s="22"/>
      <c r="S41" s="22"/>
      <c r="T41" s="22"/>
      <c r="U41" s="22">
        <f t="shared" si="3"/>
        <v>2209069</v>
      </c>
      <c r="V41" s="23">
        <f>K41-U41</f>
        <v>4690931</v>
      </c>
      <c r="W41" s="23"/>
      <c r="X41" s="64"/>
      <c r="Y41" s="23">
        <f t="shared" si="4"/>
        <v>4690931</v>
      </c>
    </row>
    <row r="42" spans="1:26" x14ac:dyDescent="0.25">
      <c r="A42" s="234"/>
      <c r="B42" s="26">
        <v>39</v>
      </c>
      <c r="C42" s="19" t="s">
        <v>98</v>
      </c>
      <c r="D42" s="20" t="s">
        <v>32</v>
      </c>
      <c r="E42" s="22">
        <v>4000000</v>
      </c>
      <c r="F42" s="22">
        <v>30</v>
      </c>
      <c r="G42" s="22">
        <f t="shared" si="10"/>
        <v>4000000.0000000005</v>
      </c>
      <c r="H42" s="22"/>
      <c r="I42" s="22"/>
      <c r="J42" s="22"/>
      <c r="K42" s="22">
        <f t="shared" si="12"/>
        <v>4000000.0000000005</v>
      </c>
      <c r="L42" s="22">
        <f t="shared" si="2"/>
        <v>160000.00000000003</v>
      </c>
      <c r="M42" s="22">
        <f t="shared" si="5"/>
        <v>200000.00000000003</v>
      </c>
      <c r="N42" s="22"/>
      <c r="O42" s="22">
        <v>108250</v>
      </c>
      <c r="P42" s="22">
        <v>31000</v>
      </c>
      <c r="Q42" s="22"/>
      <c r="R42" s="22"/>
      <c r="S42" s="22"/>
      <c r="T42" s="22"/>
      <c r="U42" s="22">
        <f t="shared" si="3"/>
        <v>499250.00000000006</v>
      </c>
      <c r="V42" s="23">
        <f>K42-U42</f>
        <v>3500750.0000000005</v>
      </c>
      <c r="W42" s="23"/>
      <c r="X42" s="64"/>
      <c r="Y42" s="23">
        <f t="shared" si="4"/>
        <v>3500750.0000000005</v>
      </c>
    </row>
    <row r="43" spans="1:26" x14ac:dyDescent="0.25">
      <c r="A43" s="235" t="s">
        <v>99</v>
      </c>
      <c r="B43" s="26">
        <v>1</v>
      </c>
      <c r="C43" s="19" t="s">
        <v>100</v>
      </c>
      <c r="D43" s="20" t="s">
        <v>32</v>
      </c>
      <c r="E43" s="22">
        <v>2000000</v>
      </c>
      <c r="F43" s="22">
        <v>30</v>
      </c>
      <c r="G43" s="22">
        <f t="shared" si="10"/>
        <v>2000000.0000000002</v>
      </c>
      <c r="H43" s="22"/>
      <c r="I43" s="22">
        <v>500000</v>
      </c>
      <c r="J43" s="22"/>
      <c r="K43" s="22">
        <f t="shared" si="12"/>
        <v>2500000</v>
      </c>
      <c r="L43" s="22">
        <f t="shared" si="2"/>
        <v>80000.000000000015</v>
      </c>
      <c r="M43" s="22">
        <f t="shared" si="13"/>
        <v>80000.000000000015</v>
      </c>
      <c r="N43" s="22"/>
      <c r="O43" s="22"/>
      <c r="P43" s="25">
        <v>0</v>
      </c>
      <c r="Q43" s="22"/>
      <c r="R43" s="22">
        <v>163485</v>
      </c>
      <c r="S43" s="22"/>
      <c r="T43" s="22">
        <v>152804</v>
      </c>
      <c r="U43" s="22">
        <f t="shared" si="3"/>
        <v>476289</v>
      </c>
      <c r="V43" s="23">
        <f>+K43-U43</f>
        <v>2023711</v>
      </c>
      <c r="W43" s="23"/>
      <c r="X43" s="64"/>
      <c r="Y43" s="23">
        <f t="shared" si="4"/>
        <v>2023711</v>
      </c>
    </row>
    <row r="44" spans="1:26" ht="25.5" customHeight="1" x14ac:dyDescent="0.25">
      <c r="A44" s="235"/>
      <c r="B44" s="26">
        <v>2</v>
      </c>
      <c r="C44" s="19" t="s">
        <v>103</v>
      </c>
      <c r="D44" s="20" t="s">
        <v>32</v>
      </c>
      <c r="E44" s="22">
        <v>344727</v>
      </c>
      <c r="F44" s="22">
        <v>30</v>
      </c>
      <c r="G44" s="22">
        <f t="shared" si="10"/>
        <v>344727</v>
      </c>
      <c r="H44" s="22"/>
      <c r="I44" s="22"/>
      <c r="J44" s="22"/>
      <c r="K44" s="22">
        <f t="shared" si="12"/>
        <v>344727</v>
      </c>
      <c r="L44" s="22"/>
      <c r="M44" s="22"/>
      <c r="N44" s="22"/>
      <c r="O44" s="22"/>
      <c r="P44" s="25"/>
      <c r="Q44" s="22"/>
      <c r="R44" s="22"/>
      <c r="S44" s="22"/>
      <c r="T44" s="22"/>
      <c r="U44" s="22">
        <f t="shared" si="3"/>
        <v>0</v>
      </c>
      <c r="V44" s="23">
        <f>+K44-U44</f>
        <v>344727</v>
      </c>
      <c r="W44" s="23"/>
      <c r="X44" s="64"/>
      <c r="Y44" s="23">
        <f t="shared" si="4"/>
        <v>344727</v>
      </c>
    </row>
    <row r="45" spans="1:26" x14ac:dyDescent="0.25">
      <c r="A45" s="235"/>
      <c r="B45" s="26">
        <v>3</v>
      </c>
      <c r="C45" s="30" t="s">
        <v>180</v>
      </c>
      <c r="D45" s="26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4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/>
      <c r="U45" s="22">
        <f t="shared" si="3"/>
        <v>0</v>
      </c>
      <c r="V45" s="23">
        <f>K45-U45</f>
        <v>689455</v>
      </c>
      <c r="W45" s="23"/>
      <c r="X45" s="64"/>
      <c r="Y45" s="23">
        <f t="shared" si="4"/>
        <v>689455</v>
      </c>
    </row>
    <row r="46" spans="1:26" ht="18" customHeight="1" x14ac:dyDescent="0.25">
      <c r="A46" s="235"/>
      <c r="B46" s="26">
        <v>4</v>
      </c>
      <c r="C46" s="19" t="s">
        <v>102</v>
      </c>
      <c r="D46" s="20" t="s">
        <v>32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si="12"/>
        <v>689455</v>
      </c>
      <c r="L46" s="22"/>
      <c r="M46" s="22"/>
      <c r="N46" s="22"/>
      <c r="O46" s="22"/>
      <c r="P46" s="25"/>
      <c r="Q46" s="22"/>
      <c r="R46" s="22"/>
      <c r="S46" s="22"/>
      <c r="T46" s="22"/>
      <c r="U46" s="22"/>
      <c r="V46" s="23">
        <f>+K46-U46</f>
        <v>689455</v>
      </c>
      <c r="W46" s="23"/>
      <c r="X46" s="64"/>
      <c r="Y46" s="23">
        <f t="shared" si="4"/>
        <v>689455</v>
      </c>
    </row>
    <row r="47" spans="1:26" x14ac:dyDescent="0.25">
      <c r="A47" s="235"/>
      <c r="B47" s="26">
        <v>5</v>
      </c>
      <c r="C47" s="30" t="s">
        <v>181</v>
      </c>
      <c r="D47" s="26" t="s">
        <v>32</v>
      </c>
      <c r="E47" s="22">
        <v>689455</v>
      </c>
      <c r="F47" s="22">
        <v>30</v>
      </c>
      <c r="G47" s="22">
        <f t="shared" si="10"/>
        <v>689455</v>
      </c>
      <c r="H47" s="22"/>
      <c r="I47" s="22"/>
      <c r="J47" s="22"/>
      <c r="K47" s="22">
        <f t="shared" ref="K47" si="15">SUM(G47:I47)+J47</f>
        <v>689455</v>
      </c>
      <c r="L47" s="22">
        <v>0</v>
      </c>
      <c r="M47" s="22"/>
      <c r="N47" s="22"/>
      <c r="O47" s="22">
        <v>149500</v>
      </c>
      <c r="P47" s="22"/>
      <c r="Q47" s="22"/>
      <c r="R47" s="22"/>
      <c r="S47" s="22"/>
      <c r="T47" s="22"/>
      <c r="U47" s="22">
        <f t="shared" ref="U47:U91" si="16">SUM(L47:T47)</f>
        <v>149500</v>
      </c>
      <c r="V47" s="23">
        <f>K47-U47</f>
        <v>539955</v>
      </c>
      <c r="W47" s="23"/>
      <c r="X47" s="64"/>
      <c r="Y47" s="23">
        <f t="shared" si="4"/>
        <v>539955</v>
      </c>
    </row>
    <row r="48" spans="1:26" x14ac:dyDescent="0.25">
      <c r="A48" s="235"/>
      <c r="B48" s="26">
        <v>6</v>
      </c>
      <c r="C48" s="19" t="s">
        <v>104</v>
      </c>
      <c r="D48" s="20" t="s">
        <v>105</v>
      </c>
      <c r="E48" s="22">
        <v>800000</v>
      </c>
      <c r="F48" s="22">
        <v>30</v>
      </c>
      <c r="G48" s="22">
        <f t="shared" si="10"/>
        <v>800000</v>
      </c>
      <c r="H48" s="22">
        <v>77700</v>
      </c>
      <c r="I48" s="22"/>
      <c r="J48" s="22"/>
      <c r="K48" s="22">
        <f t="shared" si="12"/>
        <v>877700</v>
      </c>
      <c r="L48" s="22">
        <f t="shared" ref="L48:L54" si="17">+G48*4%</f>
        <v>32000</v>
      </c>
      <c r="M48" s="22">
        <f t="shared" ref="M48:M54" si="18">+G48*4%</f>
        <v>32000</v>
      </c>
      <c r="N48" s="22"/>
      <c r="O48" s="22"/>
      <c r="P48" s="25"/>
      <c r="Q48" s="22"/>
      <c r="R48" s="22"/>
      <c r="S48" s="22"/>
      <c r="T48" s="22"/>
      <c r="U48" s="22">
        <f t="shared" si="16"/>
        <v>64000</v>
      </c>
      <c r="V48" s="23">
        <f>+K48-U48</f>
        <v>813700</v>
      </c>
      <c r="W48" s="23"/>
      <c r="X48" s="64"/>
      <c r="Y48" s="23">
        <f t="shared" si="4"/>
        <v>813700</v>
      </c>
    </row>
    <row r="49" spans="1:28" ht="21.75" customHeight="1" x14ac:dyDescent="0.25">
      <c r="A49" s="235"/>
      <c r="B49" s="26">
        <v>7</v>
      </c>
      <c r="C49" s="19" t="s">
        <v>106</v>
      </c>
      <c r="D49" s="20" t="s">
        <v>32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2"/>
        <v>1177700</v>
      </c>
      <c r="L49" s="22">
        <f t="shared" si="17"/>
        <v>44000</v>
      </c>
      <c r="M49" s="22">
        <f t="shared" si="18"/>
        <v>44000</v>
      </c>
      <c r="N49" s="22"/>
      <c r="O49" s="22"/>
      <c r="P49" s="22">
        <v>0</v>
      </c>
      <c r="Q49" s="22"/>
      <c r="R49" s="22"/>
      <c r="S49" s="22"/>
      <c r="T49" s="22"/>
      <c r="U49" s="22">
        <f t="shared" si="16"/>
        <v>88000</v>
      </c>
      <c r="V49" s="23">
        <f>+K49-U49</f>
        <v>1089700</v>
      </c>
      <c r="W49" s="23"/>
      <c r="X49" s="64"/>
      <c r="Y49" s="23">
        <f t="shared" si="4"/>
        <v>1089700</v>
      </c>
    </row>
    <row r="50" spans="1:28" x14ac:dyDescent="0.25">
      <c r="A50" s="235"/>
      <c r="B50" s="26">
        <v>8</v>
      </c>
      <c r="C50" s="19" t="s">
        <v>182</v>
      </c>
      <c r="D50" s="20" t="s">
        <v>32</v>
      </c>
      <c r="E50" s="22">
        <v>689454</v>
      </c>
      <c r="F50" s="22">
        <v>30</v>
      </c>
      <c r="G50" s="22">
        <f t="shared" ref="G50" si="19">+E50/30*F50</f>
        <v>689454</v>
      </c>
      <c r="H50" s="22">
        <v>77700</v>
      </c>
      <c r="I50" s="22"/>
      <c r="J50" s="22"/>
      <c r="K50" s="22">
        <f t="shared" ref="K50" si="20">SUM(G50:I50)+J50</f>
        <v>767154</v>
      </c>
      <c r="L50" s="22">
        <f t="shared" si="17"/>
        <v>27578.16</v>
      </c>
      <c r="M50" s="22">
        <f t="shared" si="18"/>
        <v>27578.16</v>
      </c>
      <c r="N50" s="22"/>
      <c r="O50" s="22"/>
      <c r="P50" s="25"/>
      <c r="Q50" s="22"/>
      <c r="R50" s="22"/>
      <c r="S50" s="22"/>
      <c r="T50" s="22"/>
      <c r="U50" s="22">
        <f t="shared" si="16"/>
        <v>55156.32</v>
      </c>
      <c r="V50" s="23">
        <f>+K50-U50</f>
        <v>711997.68</v>
      </c>
      <c r="W50" s="23"/>
      <c r="X50" s="64"/>
      <c r="Y50" s="23">
        <f t="shared" si="4"/>
        <v>711997.68</v>
      </c>
    </row>
    <row r="51" spans="1:28" ht="17.25" customHeight="1" x14ac:dyDescent="0.25">
      <c r="A51" s="235"/>
      <c r="B51" s="26">
        <v>9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/>
      <c r="U51" s="22">
        <f t="shared" si="16"/>
        <v>96000</v>
      </c>
      <c r="V51" s="23">
        <f>+K51-U51</f>
        <v>1181700</v>
      </c>
      <c r="W51" s="23"/>
      <c r="X51" s="64"/>
      <c r="Y51" s="23">
        <f t="shared" si="4"/>
        <v>1181700</v>
      </c>
    </row>
    <row r="52" spans="1:28" ht="24" x14ac:dyDescent="0.25">
      <c r="A52" s="235"/>
      <c r="B52" s="26">
        <v>10</v>
      </c>
      <c r="C52" s="19" t="s">
        <v>109</v>
      </c>
      <c r="D52" s="20" t="s">
        <v>32</v>
      </c>
      <c r="E52" s="22">
        <v>900000</v>
      </c>
      <c r="F52" s="22">
        <v>30</v>
      </c>
      <c r="G52" s="22">
        <f>E52/30*F52</f>
        <v>900000</v>
      </c>
      <c r="H52" s="22">
        <v>77700</v>
      </c>
      <c r="I52" s="22"/>
      <c r="J52" s="22"/>
      <c r="K52" s="22">
        <f t="shared" si="12"/>
        <v>977700</v>
      </c>
      <c r="L52" s="22">
        <f t="shared" si="17"/>
        <v>36000</v>
      </c>
      <c r="M52" s="22">
        <f t="shared" si="18"/>
        <v>36000</v>
      </c>
      <c r="N52" s="22"/>
      <c r="O52" s="22"/>
      <c r="P52" s="22">
        <v>0</v>
      </c>
      <c r="Q52" s="22"/>
      <c r="R52" s="22"/>
      <c r="S52" s="22"/>
      <c r="T52" s="22"/>
      <c r="U52" s="22">
        <f t="shared" si="16"/>
        <v>72000</v>
      </c>
      <c r="V52" s="23">
        <f>+K52-U52</f>
        <v>905700</v>
      </c>
      <c r="W52" s="23"/>
      <c r="X52" s="64"/>
      <c r="Y52" s="23">
        <f t="shared" si="4"/>
        <v>905700</v>
      </c>
    </row>
    <row r="53" spans="1:28" x14ac:dyDescent="0.25">
      <c r="A53" s="235"/>
      <c r="B53" s="26">
        <v>11</v>
      </c>
      <c r="C53" s="30" t="s">
        <v>111</v>
      </c>
      <c r="D53" s="26" t="s">
        <v>32</v>
      </c>
      <c r="E53" s="22">
        <v>2500000</v>
      </c>
      <c r="F53" s="22">
        <v>30</v>
      </c>
      <c r="G53" s="22">
        <f>+E53/30*F53</f>
        <v>2500000</v>
      </c>
      <c r="H53" s="22"/>
      <c r="I53" s="22"/>
      <c r="J53" s="22"/>
      <c r="K53" s="22">
        <f t="shared" si="12"/>
        <v>2500000</v>
      </c>
      <c r="L53" s="22">
        <v>100000</v>
      </c>
      <c r="M53" s="22">
        <v>100000</v>
      </c>
      <c r="N53" s="22"/>
      <c r="O53" s="22"/>
      <c r="P53" s="22">
        <v>0</v>
      </c>
      <c r="Q53" s="22"/>
      <c r="R53" s="22"/>
      <c r="S53" s="22"/>
      <c r="T53" s="22"/>
      <c r="U53" s="22">
        <f t="shared" si="16"/>
        <v>200000</v>
      </c>
      <c r="V53" s="23">
        <f t="shared" ref="V53:V60" si="21">K53-U53</f>
        <v>2300000</v>
      </c>
      <c r="W53" s="23"/>
      <c r="X53" s="64"/>
      <c r="Y53" s="23">
        <f t="shared" si="4"/>
        <v>2300000</v>
      </c>
    </row>
    <row r="54" spans="1:28" x14ac:dyDescent="0.25">
      <c r="A54" s="235"/>
      <c r="B54" s="26">
        <v>12</v>
      </c>
      <c r="C54" s="19" t="s">
        <v>113</v>
      </c>
      <c r="D54" s="20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>
        <v>500000</v>
      </c>
      <c r="J54" s="22"/>
      <c r="K54" s="22">
        <f t="shared" si="12"/>
        <v>3000000</v>
      </c>
      <c r="L54" s="22">
        <f t="shared" si="17"/>
        <v>100000</v>
      </c>
      <c r="M54" s="22">
        <f t="shared" si="18"/>
        <v>100000</v>
      </c>
      <c r="N54" s="22"/>
      <c r="O54" s="22"/>
      <c r="P54" s="22">
        <v>0</v>
      </c>
      <c r="Q54" s="22"/>
      <c r="R54" s="22"/>
      <c r="S54" s="22"/>
      <c r="T54" s="22">
        <v>766228</v>
      </c>
      <c r="U54" s="22">
        <f t="shared" si="16"/>
        <v>966228</v>
      </c>
      <c r="V54" s="23">
        <f t="shared" si="21"/>
        <v>2033772</v>
      </c>
      <c r="W54" s="23"/>
      <c r="X54" s="64"/>
      <c r="Y54" s="23">
        <f t="shared" si="4"/>
        <v>2033772</v>
      </c>
    </row>
    <row r="55" spans="1:28" x14ac:dyDescent="0.25">
      <c r="A55" s="235"/>
      <c r="B55" s="26">
        <v>13</v>
      </c>
      <c r="C55" s="19" t="s">
        <v>115</v>
      </c>
      <c r="D55" s="20" t="s">
        <v>32</v>
      </c>
      <c r="E55" s="22">
        <v>344727</v>
      </c>
      <c r="F55" s="22">
        <v>30</v>
      </c>
      <c r="G55" s="22">
        <f t="shared" ref="G55" si="22">+E55/30*F55</f>
        <v>344727</v>
      </c>
      <c r="H55" s="22"/>
      <c r="I55" s="22"/>
      <c r="J55" s="22"/>
      <c r="K55" s="22">
        <f t="shared" si="12"/>
        <v>344727</v>
      </c>
      <c r="L55" s="22"/>
      <c r="M55" s="22"/>
      <c r="N55" s="22"/>
      <c r="O55" s="22"/>
      <c r="P55" s="22"/>
      <c r="Q55" s="22"/>
      <c r="R55" s="22"/>
      <c r="S55" s="22"/>
      <c r="T55" s="22"/>
      <c r="U55" s="22">
        <f t="shared" si="16"/>
        <v>0</v>
      </c>
      <c r="V55" s="23">
        <f t="shared" si="21"/>
        <v>344727</v>
      </c>
      <c r="W55" s="23"/>
      <c r="X55" s="64"/>
      <c r="Y55" s="23">
        <f t="shared" si="4"/>
        <v>344727</v>
      </c>
    </row>
    <row r="56" spans="1:28" ht="17.25" customHeight="1" x14ac:dyDescent="0.25">
      <c r="A56" s="235"/>
      <c r="B56" s="26">
        <v>14</v>
      </c>
      <c r="C56" s="19" t="s">
        <v>116</v>
      </c>
      <c r="D56" s="20" t="s">
        <v>32</v>
      </c>
      <c r="E56" s="22">
        <v>3000000</v>
      </c>
      <c r="F56" s="22">
        <v>30</v>
      </c>
      <c r="G56" s="22">
        <f>E56/30*F56</f>
        <v>3000000</v>
      </c>
      <c r="H56" s="22"/>
      <c r="I56" s="22"/>
      <c r="J56" s="22"/>
      <c r="K56" s="22">
        <f t="shared" si="12"/>
        <v>3000000</v>
      </c>
      <c r="L56" s="22">
        <f>+G56*4%</f>
        <v>120000</v>
      </c>
      <c r="M56" s="22">
        <f>+G56*5%</f>
        <v>150000</v>
      </c>
      <c r="N56" s="22"/>
      <c r="O56" s="22"/>
      <c r="P56" s="22">
        <v>0</v>
      </c>
      <c r="Q56" s="22"/>
      <c r="R56" s="22"/>
      <c r="S56" s="22"/>
      <c r="T56" s="22">
        <v>322019</v>
      </c>
      <c r="U56" s="22">
        <f t="shared" si="16"/>
        <v>592019</v>
      </c>
      <c r="V56" s="23">
        <f t="shared" si="21"/>
        <v>2407981</v>
      </c>
      <c r="W56" s="23"/>
      <c r="X56" s="64"/>
      <c r="Y56" s="23">
        <f t="shared" si="4"/>
        <v>2407981</v>
      </c>
    </row>
    <row r="57" spans="1:28" ht="15.75" customHeight="1" x14ac:dyDescent="0.25">
      <c r="A57" s="235"/>
      <c r="B57" s="26">
        <v>15</v>
      </c>
      <c r="C57" s="19" t="s">
        <v>118</v>
      </c>
      <c r="D57" s="20" t="s">
        <v>32</v>
      </c>
      <c r="E57" s="22">
        <v>1300000</v>
      </c>
      <c r="F57" s="22">
        <v>30</v>
      </c>
      <c r="G57" s="22">
        <f>(E57/30*F57)</f>
        <v>1300000</v>
      </c>
      <c r="H57" s="22">
        <v>77700</v>
      </c>
      <c r="I57" s="22"/>
      <c r="J57" s="22"/>
      <c r="K57" s="22">
        <f t="shared" si="12"/>
        <v>1377700</v>
      </c>
      <c r="L57" s="22">
        <f>+G57*4%</f>
        <v>52000</v>
      </c>
      <c r="M57" s="22">
        <f>+G57*4%</f>
        <v>52000</v>
      </c>
      <c r="N57" s="22"/>
      <c r="O57" s="22"/>
      <c r="P57" s="22">
        <v>0</v>
      </c>
      <c r="Q57" s="22"/>
      <c r="R57" s="22"/>
      <c r="S57" s="22"/>
      <c r="T57" s="22">
        <v>254624</v>
      </c>
      <c r="U57" s="22">
        <f t="shared" si="16"/>
        <v>358624</v>
      </c>
      <c r="V57" s="23">
        <f t="shared" si="21"/>
        <v>1019076</v>
      </c>
      <c r="W57" s="23"/>
      <c r="X57" s="64"/>
      <c r="Y57" s="23">
        <f t="shared" si="4"/>
        <v>1019076</v>
      </c>
      <c r="AB57" s="65">
        <f>1196000+644000</f>
        <v>1840000</v>
      </c>
    </row>
    <row r="58" spans="1:28" x14ac:dyDescent="0.25">
      <c r="A58" s="235"/>
      <c r="B58" s="26">
        <v>16</v>
      </c>
      <c r="C58" s="30" t="s">
        <v>183</v>
      </c>
      <c r="D58" s="26" t="s">
        <v>32</v>
      </c>
      <c r="E58" s="22">
        <v>689455</v>
      </c>
      <c r="F58" s="22">
        <v>30</v>
      </c>
      <c r="G58" s="22">
        <f t="shared" ref="G58:G59" si="23">+E58/30*F58</f>
        <v>689455</v>
      </c>
      <c r="H58" s="22"/>
      <c r="I58" s="22"/>
      <c r="J58" s="22"/>
      <c r="K58" s="22">
        <f t="shared" si="12"/>
        <v>689455</v>
      </c>
      <c r="L58" s="22">
        <v>0</v>
      </c>
      <c r="M58" s="22"/>
      <c r="N58" s="22"/>
      <c r="O58" s="22"/>
      <c r="P58" s="22"/>
      <c r="Q58" s="22"/>
      <c r="R58" s="22"/>
      <c r="S58" s="22"/>
      <c r="T58" s="22"/>
      <c r="U58" s="22">
        <f t="shared" si="16"/>
        <v>0</v>
      </c>
      <c r="V58" s="23">
        <f t="shared" si="21"/>
        <v>689455</v>
      </c>
      <c r="W58" s="23"/>
      <c r="X58" s="64"/>
      <c r="Y58" s="23">
        <f t="shared" si="4"/>
        <v>689455</v>
      </c>
    </row>
    <row r="59" spans="1:28" x14ac:dyDescent="0.25">
      <c r="A59" s="235"/>
      <c r="B59" s="26">
        <v>17</v>
      </c>
      <c r="C59" s="30" t="s">
        <v>188</v>
      </c>
      <c r="D59" s="26" t="s">
        <v>32</v>
      </c>
      <c r="E59" s="22">
        <v>1500000</v>
      </c>
      <c r="F59" s="22">
        <v>6</v>
      </c>
      <c r="G59" s="22">
        <f t="shared" si="23"/>
        <v>300000</v>
      </c>
      <c r="H59" s="22"/>
      <c r="I59" s="22"/>
      <c r="J59" s="22"/>
      <c r="K59" s="22">
        <f t="shared" ref="K59" si="24">SUM(G59:I59)+J59</f>
        <v>300000</v>
      </c>
      <c r="L59" s="22">
        <f>+G59*4%</f>
        <v>12000</v>
      </c>
      <c r="M59" s="22">
        <f>+G59*4%</f>
        <v>12000</v>
      </c>
      <c r="N59" s="22"/>
      <c r="O59" s="22"/>
      <c r="P59" s="22"/>
      <c r="Q59" s="22"/>
      <c r="R59" s="22"/>
      <c r="S59" s="22"/>
      <c r="T59" s="22"/>
      <c r="U59" s="22">
        <f t="shared" ref="U59" si="25">SUM(L59:T59)</f>
        <v>24000</v>
      </c>
      <c r="V59" s="23">
        <f t="shared" si="21"/>
        <v>276000</v>
      </c>
      <c r="W59" s="23"/>
      <c r="X59" s="64"/>
      <c r="Y59" s="23">
        <f t="shared" si="4"/>
        <v>276000</v>
      </c>
    </row>
    <row r="60" spans="1:28" x14ac:dyDescent="0.25">
      <c r="A60" s="235"/>
      <c r="B60" s="26">
        <v>18</v>
      </c>
      <c r="C60" s="30" t="s">
        <v>120</v>
      </c>
      <c r="D60" s="26" t="s">
        <v>32</v>
      </c>
      <c r="E60" s="22">
        <v>344727</v>
      </c>
      <c r="F60" s="22">
        <v>30</v>
      </c>
      <c r="G60" s="22">
        <f>+E60/30*F60</f>
        <v>344727</v>
      </c>
      <c r="H60" s="22"/>
      <c r="I60" s="22"/>
      <c r="J60" s="22"/>
      <c r="K60" s="22">
        <f t="shared" si="12"/>
        <v>344727</v>
      </c>
      <c r="L60" s="22"/>
      <c r="M60" s="22"/>
      <c r="N60" s="22"/>
      <c r="O60" s="22"/>
      <c r="P60" s="22"/>
      <c r="Q60" s="22"/>
      <c r="R60" s="22"/>
      <c r="S60" s="22"/>
      <c r="T60" s="22"/>
      <c r="U60" s="22">
        <f t="shared" si="16"/>
        <v>0</v>
      </c>
      <c r="V60" s="23">
        <f t="shared" si="21"/>
        <v>344727</v>
      </c>
      <c r="W60" s="23"/>
      <c r="X60" s="64"/>
      <c r="Y60" s="23">
        <f t="shared" si="4"/>
        <v>344727</v>
      </c>
      <c r="AB60" s="65">
        <f>1840000-1196000</f>
        <v>644000</v>
      </c>
    </row>
    <row r="61" spans="1:28" ht="24" x14ac:dyDescent="0.25">
      <c r="A61" s="235"/>
      <c r="B61" s="26">
        <v>19</v>
      </c>
      <c r="C61" s="19" t="s">
        <v>121</v>
      </c>
      <c r="D61" s="20" t="s">
        <v>105</v>
      </c>
      <c r="E61" s="22">
        <v>800000</v>
      </c>
      <c r="F61" s="22">
        <v>30</v>
      </c>
      <c r="G61" s="22">
        <f t="shared" ref="G61" si="26">+E61/30*F61</f>
        <v>800000</v>
      </c>
      <c r="H61" s="22">
        <v>77700</v>
      </c>
      <c r="I61" s="22"/>
      <c r="J61" s="22"/>
      <c r="K61" s="22">
        <f t="shared" si="12"/>
        <v>877700</v>
      </c>
      <c r="L61" s="22">
        <f t="shared" ref="L61:L88" si="27">+G61*4%</f>
        <v>32000</v>
      </c>
      <c r="M61" s="22">
        <f t="shared" ref="M61:M88" si="28">+G61*4%</f>
        <v>32000</v>
      </c>
      <c r="N61" s="22"/>
      <c r="O61" s="22"/>
      <c r="P61" s="25"/>
      <c r="Q61" s="22"/>
      <c r="R61" s="22"/>
      <c r="S61" s="22"/>
      <c r="T61" s="22"/>
      <c r="U61" s="22">
        <f t="shared" si="16"/>
        <v>64000</v>
      </c>
      <c r="V61" s="23">
        <f>+K61-U61</f>
        <v>813700</v>
      </c>
      <c r="W61" s="23"/>
      <c r="X61" s="64"/>
      <c r="Y61" s="23">
        <f t="shared" si="4"/>
        <v>813700</v>
      </c>
    </row>
    <row r="62" spans="1:28" x14ac:dyDescent="0.25">
      <c r="A62" s="235"/>
      <c r="B62" s="26">
        <v>20</v>
      </c>
      <c r="C62" s="30" t="s">
        <v>122</v>
      </c>
      <c r="D62" s="26" t="s">
        <v>32</v>
      </c>
      <c r="E62" s="22">
        <v>1500000</v>
      </c>
      <c r="F62" s="22">
        <v>30</v>
      </c>
      <c r="G62" s="22">
        <f>+E62/30*F62</f>
        <v>1500000</v>
      </c>
      <c r="H62" s="22"/>
      <c r="I62" s="22">
        <v>500000</v>
      </c>
      <c r="J62" s="22"/>
      <c r="K62" s="22">
        <f t="shared" si="12"/>
        <v>2000000</v>
      </c>
      <c r="L62" s="22">
        <f t="shared" si="27"/>
        <v>60000</v>
      </c>
      <c r="M62" s="22">
        <f t="shared" si="28"/>
        <v>60000</v>
      </c>
      <c r="N62" s="22"/>
      <c r="O62" s="22">
        <v>127000</v>
      </c>
      <c r="P62" s="22">
        <v>0</v>
      </c>
      <c r="Q62" s="22"/>
      <c r="R62" s="22"/>
      <c r="S62" s="22"/>
      <c r="T62" s="22"/>
      <c r="U62" s="22">
        <f t="shared" si="16"/>
        <v>247000</v>
      </c>
      <c r="V62" s="23">
        <f>K62-U62</f>
        <v>1753000</v>
      </c>
      <c r="W62" s="23"/>
      <c r="X62" s="64"/>
      <c r="Y62" s="23">
        <f>V62+W62-X62</f>
        <v>1753000</v>
      </c>
    </row>
    <row r="63" spans="1:28" ht="20.25" customHeight="1" x14ac:dyDescent="0.25">
      <c r="A63" s="235"/>
      <c r="B63" s="26">
        <v>21</v>
      </c>
      <c r="C63" s="19" t="s">
        <v>126</v>
      </c>
      <c r="D63" s="20" t="s">
        <v>32</v>
      </c>
      <c r="E63" s="22">
        <v>3000000</v>
      </c>
      <c r="F63" s="22">
        <v>30</v>
      </c>
      <c r="G63" s="22">
        <f t="shared" ref="G63" si="29">+E63/30*F63</f>
        <v>3000000</v>
      </c>
      <c r="H63" s="22"/>
      <c r="I63" s="22"/>
      <c r="J63" s="22"/>
      <c r="K63" s="22">
        <f t="shared" si="12"/>
        <v>3000000</v>
      </c>
      <c r="L63" s="22">
        <v>120000</v>
      </c>
      <c r="M63" s="22">
        <v>150000</v>
      </c>
      <c r="N63" s="22"/>
      <c r="O63" s="22"/>
      <c r="P63" s="22">
        <v>0</v>
      </c>
      <c r="Q63" s="22"/>
      <c r="R63" s="22"/>
      <c r="S63" s="22"/>
      <c r="T63" s="22">
        <v>802634</v>
      </c>
      <c r="U63" s="22">
        <f t="shared" si="16"/>
        <v>1072634</v>
      </c>
      <c r="V63" s="23">
        <f t="shared" ref="V63:V70" si="30">+K63-U63</f>
        <v>1927366</v>
      </c>
      <c r="W63" s="23"/>
      <c r="X63" s="64"/>
      <c r="Y63" s="23">
        <f t="shared" ref="Y63" si="31">V63+W63-X63</f>
        <v>1927366</v>
      </c>
    </row>
    <row r="64" spans="1:28" ht="18" customHeight="1" x14ac:dyDescent="0.25">
      <c r="A64" s="235"/>
      <c r="B64" s="26">
        <v>22</v>
      </c>
      <c r="C64" s="19" t="s">
        <v>124</v>
      </c>
      <c r="D64" s="20" t="s">
        <v>32</v>
      </c>
      <c r="E64" s="22">
        <v>1500000</v>
      </c>
      <c r="F64" s="22">
        <v>30</v>
      </c>
      <c r="G64" s="22">
        <f>+E64/30*F64</f>
        <v>1500000</v>
      </c>
      <c r="H64" s="22"/>
      <c r="I64" s="22">
        <v>100000</v>
      </c>
      <c r="J64" s="22"/>
      <c r="K64" s="22">
        <f t="shared" si="12"/>
        <v>1600000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/>
      <c r="U64" s="22">
        <f t="shared" si="16"/>
        <v>120000</v>
      </c>
      <c r="V64" s="23">
        <f t="shared" si="30"/>
        <v>1480000</v>
      </c>
      <c r="W64" s="23"/>
      <c r="X64" s="64"/>
      <c r="Y64" s="23">
        <f t="shared" si="4"/>
        <v>1480000</v>
      </c>
    </row>
    <row r="65" spans="1:26" x14ac:dyDescent="0.25">
      <c r="A65" s="235"/>
      <c r="B65" s="26">
        <v>23</v>
      </c>
      <c r="C65" s="19" t="s">
        <v>128</v>
      </c>
      <c r="D65" s="20" t="s">
        <v>32</v>
      </c>
      <c r="E65" s="22">
        <v>3250000</v>
      </c>
      <c r="F65" s="22">
        <v>30</v>
      </c>
      <c r="G65" s="22">
        <f t="shared" ref="G65:G73" si="32">+E65/30*F65</f>
        <v>3250000</v>
      </c>
      <c r="H65" s="22"/>
      <c r="I65" s="22"/>
      <c r="J65" s="22"/>
      <c r="K65" s="22">
        <f t="shared" si="12"/>
        <v>3250000</v>
      </c>
      <c r="L65" s="22">
        <f t="shared" si="27"/>
        <v>130000</v>
      </c>
      <c r="M65" s="22">
        <f>+G65*5%</f>
        <v>162500</v>
      </c>
      <c r="N65" s="22"/>
      <c r="O65" s="22">
        <v>162000</v>
      </c>
      <c r="P65" s="22">
        <v>0</v>
      </c>
      <c r="Q65" s="22"/>
      <c r="R65" s="22"/>
      <c r="S65" s="22"/>
      <c r="T65" s="22"/>
      <c r="U65" s="22">
        <f t="shared" si="16"/>
        <v>454500</v>
      </c>
      <c r="V65" s="23">
        <f t="shared" si="30"/>
        <v>2795500</v>
      </c>
      <c r="W65" s="23"/>
      <c r="X65" s="64"/>
      <c r="Y65" s="23">
        <f t="shared" si="4"/>
        <v>2795500</v>
      </c>
      <c r="Z65" s="65" t="s">
        <v>130</v>
      </c>
    </row>
    <row r="66" spans="1:26" x14ac:dyDescent="0.25">
      <c r="A66" s="235"/>
      <c r="B66" s="26">
        <v>24</v>
      </c>
      <c r="C66" s="19" t="s">
        <v>131</v>
      </c>
      <c r="D66" s="20" t="s">
        <v>32</v>
      </c>
      <c r="E66" s="22">
        <v>2500000</v>
      </c>
      <c r="F66" s="22">
        <v>30</v>
      </c>
      <c r="G66" s="22">
        <f t="shared" si="32"/>
        <v>2500000</v>
      </c>
      <c r="H66" s="22"/>
      <c r="I66" s="22"/>
      <c r="J66" s="22"/>
      <c r="K66" s="22">
        <f t="shared" si="12"/>
        <v>2500000</v>
      </c>
      <c r="L66" s="22">
        <v>100000</v>
      </c>
      <c r="M66" s="22">
        <v>100000</v>
      </c>
      <c r="N66" s="22"/>
      <c r="O66" s="22"/>
      <c r="P66" s="25">
        <v>0</v>
      </c>
      <c r="Q66" s="22"/>
      <c r="R66" s="22"/>
      <c r="S66" s="22"/>
      <c r="T66" s="22">
        <v>586000</v>
      </c>
      <c r="U66" s="22">
        <f t="shared" si="16"/>
        <v>786000</v>
      </c>
      <c r="V66" s="23">
        <f t="shared" si="30"/>
        <v>1714000</v>
      </c>
      <c r="W66" s="23"/>
      <c r="X66" s="64"/>
      <c r="Y66" s="23">
        <f t="shared" si="4"/>
        <v>1714000</v>
      </c>
    </row>
    <row r="67" spans="1:26" x14ac:dyDescent="0.25">
      <c r="A67" s="235"/>
      <c r="B67" s="26">
        <v>25</v>
      </c>
      <c r="C67" s="19" t="s">
        <v>133</v>
      </c>
      <c r="D67" s="20" t="s">
        <v>32</v>
      </c>
      <c r="E67" s="22">
        <v>1800000</v>
      </c>
      <c r="F67" s="22">
        <v>30</v>
      </c>
      <c r="G67" s="22">
        <f t="shared" si="32"/>
        <v>1800000</v>
      </c>
      <c r="H67" s="22"/>
      <c r="I67" s="22"/>
      <c r="J67" s="22"/>
      <c r="K67" s="22">
        <f t="shared" si="12"/>
        <v>1800000</v>
      </c>
      <c r="L67" s="22">
        <v>72000</v>
      </c>
      <c r="M67" s="22">
        <v>72000</v>
      </c>
      <c r="N67" s="22"/>
      <c r="O67" s="22"/>
      <c r="P67" s="25">
        <v>0</v>
      </c>
      <c r="Q67" s="22"/>
      <c r="R67" s="22">
        <v>107336</v>
      </c>
      <c r="S67" s="22"/>
      <c r="T67" s="22"/>
      <c r="U67" s="22">
        <f t="shared" si="16"/>
        <v>251336</v>
      </c>
      <c r="V67" s="23">
        <f t="shared" si="30"/>
        <v>1548664</v>
      </c>
      <c r="W67" s="23"/>
      <c r="X67" s="64"/>
      <c r="Y67" s="23">
        <f t="shared" si="4"/>
        <v>1548664</v>
      </c>
    </row>
    <row r="68" spans="1:26" x14ac:dyDescent="0.25">
      <c r="A68" s="235"/>
      <c r="B68" s="26">
        <v>26</v>
      </c>
      <c r="C68" s="19" t="s">
        <v>135</v>
      </c>
      <c r="D68" s="20" t="s">
        <v>32</v>
      </c>
      <c r="E68" s="22">
        <v>1800000</v>
      </c>
      <c r="F68" s="22">
        <v>30</v>
      </c>
      <c r="G68" s="22">
        <f>+E68/30*F68</f>
        <v>1800000</v>
      </c>
      <c r="H68" s="22"/>
      <c r="I68" s="22"/>
      <c r="J68" s="22"/>
      <c r="K68" s="22">
        <f t="shared" si="12"/>
        <v>1800000</v>
      </c>
      <c r="L68" s="22">
        <v>72000</v>
      </c>
      <c r="M68" s="22">
        <v>72000</v>
      </c>
      <c r="N68" s="22"/>
      <c r="O68" s="22"/>
      <c r="P68" s="22">
        <v>0</v>
      </c>
      <c r="Q68" s="22"/>
      <c r="R68" s="22"/>
      <c r="S68" s="22"/>
      <c r="T68" s="22">
        <v>257196</v>
      </c>
      <c r="U68" s="22">
        <f t="shared" si="16"/>
        <v>401196</v>
      </c>
      <c r="V68" s="23">
        <f t="shared" si="30"/>
        <v>1398804</v>
      </c>
      <c r="W68" s="23"/>
      <c r="X68" s="64"/>
      <c r="Y68" s="23">
        <f t="shared" ref="Y68:Y91" si="33">V68+W68-X68</f>
        <v>1398804</v>
      </c>
    </row>
    <row r="69" spans="1:26" x14ac:dyDescent="0.25">
      <c r="A69" s="235"/>
      <c r="B69" s="26">
        <v>27</v>
      </c>
      <c r="C69" s="19" t="s">
        <v>189</v>
      </c>
      <c r="D69" s="20" t="s">
        <v>32</v>
      </c>
      <c r="E69" s="22">
        <v>4500000</v>
      </c>
      <c r="F69" s="22">
        <v>6</v>
      </c>
      <c r="G69" s="22">
        <f>+E69/30*F69</f>
        <v>900000</v>
      </c>
      <c r="H69" s="22"/>
      <c r="I69" s="22"/>
      <c r="J69" s="22"/>
      <c r="K69" s="22">
        <f t="shared" si="12"/>
        <v>900000</v>
      </c>
      <c r="L69" s="22">
        <f t="shared" ref="L69" si="34">+G69*4%</f>
        <v>36000</v>
      </c>
      <c r="M69" s="22">
        <f t="shared" ref="M69" si="35">+G69*4%</f>
        <v>36000</v>
      </c>
      <c r="N69" s="22"/>
      <c r="O69" s="22"/>
      <c r="P69" s="22">
        <v>0</v>
      </c>
      <c r="Q69" s="22"/>
      <c r="R69" s="22"/>
      <c r="S69" s="22"/>
      <c r="T69" s="22"/>
      <c r="U69" s="22">
        <f t="shared" ref="U69" si="36">SUM(L69:T69)</f>
        <v>72000</v>
      </c>
      <c r="V69" s="23">
        <f t="shared" si="30"/>
        <v>828000</v>
      </c>
      <c r="W69" s="23"/>
      <c r="X69" s="64"/>
      <c r="Y69" s="23">
        <f t="shared" si="33"/>
        <v>828000</v>
      </c>
    </row>
    <row r="70" spans="1:26" x14ac:dyDescent="0.25">
      <c r="A70" s="235"/>
      <c r="B70" s="26">
        <v>28</v>
      </c>
      <c r="C70" s="19" t="s">
        <v>137</v>
      </c>
      <c r="D70" s="20" t="s">
        <v>32</v>
      </c>
      <c r="E70" s="22">
        <v>1000000</v>
      </c>
      <c r="F70" s="22">
        <v>5</v>
      </c>
      <c r="G70" s="22">
        <f t="shared" ref="G70" si="37">+E70/30*F70</f>
        <v>166666.66666666669</v>
      </c>
      <c r="H70" s="22">
        <f>+(77700/30)*5</f>
        <v>12950</v>
      </c>
      <c r="I70" s="22"/>
      <c r="J70" s="22"/>
      <c r="K70" s="22">
        <f t="shared" si="12"/>
        <v>179616.66666666669</v>
      </c>
      <c r="L70" s="22">
        <f t="shared" si="27"/>
        <v>6666.6666666666679</v>
      </c>
      <c r="M70" s="22">
        <f t="shared" si="28"/>
        <v>6666.6666666666679</v>
      </c>
      <c r="N70" s="22"/>
      <c r="O70" s="22"/>
      <c r="P70" s="22">
        <v>0</v>
      </c>
      <c r="Q70" s="22"/>
      <c r="R70" s="22"/>
      <c r="S70" s="22"/>
      <c r="T70" s="22"/>
      <c r="U70" s="22">
        <f t="shared" si="16"/>
        <v>13333.333333333336</v>
      </c>
      <c r="V70" s="23">
        <f t="shared" si="30"/>
        <v>166283.33333333334</v>
      </c>
      <c r="W70" s="23"/>
      <c r="X70" s="64"/>
      <c r="Y70" s="23">
        <f t="shared" si="33"/>
        <v>166283.33333333334</v>
      </c>
    </row>
    <row r="71" spans="1:26" ht="24" x14ac:dyDescent="0.25">
      <c r="A71" s="235"/>
      <c r="B71" s="26">
        <v>29</v>
      </c>
      <c r="C71" s="19" t="s">
        <v>138</v>
      </c>
      <c r="D71" s="20" t="s">
        <v>32</v>
      </c>
      <c r="E71" s="22">
        <v>4500000</v>
      </c>
      <c r="F71" s="22">
        <v>30</v>
      </c>
      <c r="G71" s="22">
        <f t="shared" si="32"/>
        <v>4500000</v>
      </c>
      <c r="H71" s="22"/>
      <c r="I71" s="22"/>
      <c r="J71" s="22"/>
      <c r="K71" s="22">
        <f t="shared" si="12"/>
        <v>4500000</v>
      </c>
      <c r="L71" s="22">
        <f t="shared" si="27"/>
        <v>180000</v>
      </c>
      <c r="M71" s="22">
        <f>+G71*5%</f>
        <v>225000</v>
      </c>
      <c r="N71" s="22"/>
      <c r="O71" s="22"/>
      <c r="P71" s="22">
        <v>73073</v>
      </c>
      <c r="Q71" s="22"/>
      <c r="R71" s="22"/>
      <c r="S71" s="22"/>
      <c r="T71" s="22"/>
      <c r="U71" s="22">
        <f t="shared" si="16"/>
        <v>478073</v>
      </c>
      <c r="V71" s="23">
        <f>K71-U71</f>
        <v>4021927</v>
      </c>
      <c r="W71" s="23"/>
      <c r="X71" s="64"/>
      <c r="Y71" s="23">
        <f t="shared" si="33"/>
        <v>4021927</v>
      </c>
    </row>
    <row r="72" spans="1:26" x14ac:dyDescent="0.25">
      <c r="A72" s="235"/>
      <c r="B72" s="26">
        <v>30</v>
      </c>
      <c r="C72" s="19" t="s">
        <v>142</v>
      </c>
      <c r="D72" s="20" t="s">
        <v>32</v>
      </c>
      <c r="E72" s="22">
        <v>2500000</v>
      </c>
      <c r="F72" s="22">
        <v>30</v>
      </c>
      <c r="G72" s="22">
        <f t="shared" si="32"/>
        <v>2500000</v>
      </c>
      <c r="H72" s="22"/>
      <c r="I72" s="22">
        <v>500000</v>
      </c>
      <c r="J72" s="22"/>
      <c r="K72" s="22">
        <f t="shared" si="12"/>
        <v>3000000</v>
      </c>
      <c r="L72" s="22">
        <v>100000</v>
      </c>
      <c r="M72" s="22">
        <v>100000</v>
      </c>
      <c r="N72" s="22"/>
      <c r="O72" s="22"/>
      <c r="P72" s="22">
        <v>0</v>
      </c>
      <c r="Q72" s="22"/>
      <c r="R72" s="22"/>
      <c r="S72" s="22"/>
      <c r="T72" s="22"/>
      <c r="U72" s="22">
        <f t="shared" si="16"/>
        <v>200000</v>
      </c>
      <c r="V72" s="23">
        <f>K72-U72</f>
        <v>2800000</v>
      </c>
      <c r="W72" s="23"/>
      <c r="X72" s="64"/>
      <c r="Y72" s="23">
        <f t="shared" si="33"/>
        <v>2800000</v>
      </c>
    </row>
    <row r="73" spans="1:26" ht="24" x14ac:dyDescent="0.25">
      <c r="A73" s="235"/>
      <c r="B73" s="26">
        <v>31</v>
      </c>
      <c r="C73" s="19" t="s">
        <v>140</v>
      </c>
      <c r="D73" s="20" t="s">
        <v>32</v>
      </c>
      <c r="E73" s="22">
        <v>2548000</v>
      </c>
      <c r="F73" s="22">
        <v>30</v>
      </c>
      <c r="G73" s="22">
        <f t="shared" si="32"/>
        <v>2548000</v>
      </c>
      <c r="H73" s="22"/>
      <c r="I73" s="22"/>
      <c r="J73" s="22"/>
      <c r="K73" s="22">
        <f t="shared" si="12"/>
        <v>2548000</v>
      </c>
      <c r="L73" s="22">
        <f t="shared" si="27"/>
        <v>101920</v>
      </c>
      <c r="M73" s="22">
        <f t="shared" si="28"/>
        <v>101920</v>
      </c>
      <c r="N73" s="22"/>
      <c r="O73" s="22"/>
      <c r="P73" s="22">
        <v>0</v>
      </c>
      <c r="Q73" s="22"/>
      <c r="R73" s="22"/>
      <c r="S73" s="22"/>
      <c r="T73" s="22"/>
      <c r="U73" s="22">
        <f t="shared" si="16"/>
        <v>203840</v>
      </c>
      <c r="V73" s="23">
        <f>K73-U73</f>
        <v>2344160</v>
      </c>
      <c r="W73" s="23"/>
      <c r="X73" s="64"/>
      <c r="Y73" s="23">
        <f t="shared" si="33"/>
        <v>2344160</v>
      </c>
    </row>
    <row r="74" spans="1:26" x14ac:dyDescent="0.25">
      <c r="A74" s="235"/>
      <c r="B74" s="26">
        <v>32</v>
      </c>
      <c r="C74" s="30" t="s">
        <v>144</v>
      </c>
      <c r="D74" s="26" t="s">
        <v>32</v>
      </c>
      <c r="E74" s="22">
        <v>689455</v>
      </c>
      <c r="F74" s="22">
        <v>30</v>
      </c>
      <c r="G74" s="22">
        <f>+E74/30*F74</f>
        <v>689455</v>
      </c>
      <c r="H74" s="22">
        <v>77700</v>
      </c>
      <c r="I74" s="22">
        <v>100000</v>
      </c>
      <c r="J74" s="22"/>
      <c r="K74" s="22">
        <f t="shared" si="12"/>
        <v>867155</v>
      </c>
      <c r="L74" s="22">
        <f t="shared" si="27"/>
        <v>27578.2</v>
      </c>
      <c r="M74" s="22">
        <f t="shared" si="28"/>
        <v>27578.2</v>
      </c>
      <c r="N74" s="22"/>
      <c r="O74" s="22">
        <v>225000</v>
      </c>
      <c r="P74" s="22">
        <v>0</v>
      </c>
      <c r="Q74" s="22"/>
      <c r="R74" s="22"/>
      <c r="S74" s="22"/>
      <c r="T74" s="22"/>
      <c r="U74" s="22">
        <f t="shared" si="16"/>
        <v>280156.40000000002</v>
      </c>
      <c r="V74" s="23">
        <f>K74-U74</f>
        <v>586998.6</v>
      </c>
      <c r="W74" s="23"/>
      <c r="X74" s="64"/>
      <c r="Y74" s="23">
        <f t="shared" si="33"/>
        <v>586998.6</v>
      </c>
    </row>
    <row r="75" spans="1:26" x14ac:dyDescent="0.25">
      <c r="A75" s="235"/>
      <c r="B75" s="26">
        <v>33</v>
      </c>
      <c r="C75" s="19" t="s">
        <v>146</v>
      </c>
      <c r="D75" s="20" t="s">
        <v>32</v>
      </c>
      <c r="E75" s="22">
        <v>15400000</v>
      </c>
      <c r="F75" s="22">
        <v>30</v>
      </c>
      <c r="G75" s="22">
        <f t="shared" ref="G75:G84" si="38">+E75/30*F75</f>
        <v>15400000</v>
      </c>
      <c r="H75" s="22"/>
      <c r="I75" s="22">
        <v>600000</v>
      </c>
      <c r="J75" s="22"/>
      <c r="K75" s="22">
        <f t="shared" si="12"/>
        <v>16000000</v>
      </c>
      <c r="L75" s="22">
        <f t="shared" si="27"/>
        <v>616000</v>
      </c>
      <c r="M75" s="22">
        <f>+G75*6%</f>
        <v>924000</v>
      </c>
      <c r="N75" s="22">
        <v>102400</v>
      </c>
      <c r="O75" s="22"/>
      <c r="P75" s="22">
        <v>1014000</v>
      </c>
      <c r="Q75" s="22">
        <v>5000000</v>
      </c>
      <c r="R75" s="22">
        <v>180180</v>
      </c>
      <c r="S75" s="22"/>
      <c r="T75" s="22"/>
      <c r="U75" s="22">
        <f t="shared" si="16"/>
        <v>7836580</v>
      </c>
      <c r="V75" s="23">
        <f>+K75-U75</f>
        <v>8163420</v>
      </c>
      <c r="W75" s="23"/>
      <c r="X75" s="64"/>
      <c r="Y75" s="23">
        <f t="shared" si="33"/>
        <v>8163420</v>
      </c>
    </row>
    <row r="76" spans="1:26" x14ac:dyDescent="0.25">
      <c r="A76" s="235"/>
      <c r="B76" s="26">
        <v>34</v>
      </c>
      <c r="C76" s="19" t="s">
        <v>148</v>
      </c>
      <c r="D76" s="20" t="s">
        <v>32</v>
      </c>
      <c r="E76" s="22">
        <v>4500000</v>
      </c>
      <c r="F76" s="22">
        <v>30</v>
      </c>
      <c r="G76" s="22">
        <f t="shared" si="38"/>
        <v>4500000</v>
      </c>
      <c r="H76" s="22"/>
      <c r="I76" s="22"/>
      <c r="J76" s="22"/>
      <c r="K76" s="22">
        <f t="shared" si="12"/>
        <v>4500000</v>
      </c>
      <c r="L76" s="22">
        <f t="shared" si="27"/>
        <v>180000</v>
      </c>
      <c r="M76" s="22">
        <f>+G76*5%</f>
        <v>225000</v>
      </c>
      <c r="N76" s="22"/>
      <c r="O76" s="22"/>
      <c r="P76" s="22">
        <v>90000</v>
      </c>
      <c r="Q76" s="22"/>
      <c r="R76" s="22"/>
      <c r="S76" s="22">
        <f>887544</f>
        <v>887544</v>
      </c>
      <c r="U76" s="22">
        <f>SUM(L76:S76)</f>
        <v>1382544</v>
      </c>
      <c r="V76" s="23">
        <f>+K76-U76</f>
        <v>3117456</v>
      </c>
      <c r="W76" s="23"/>
      <c r="X76" s="64"/>
      <c r="Y76" s="23">
        <f t="shared" si="33"/>
        <v>3117456</v>
      </c>
    </row>
    <row r="77" spans="1:26" x14ac:dyDescent="0.25">
      <c r="A77" s="235"/>
      <c r="B77" s="26">
        <v>35</v>
      </c>
      <c r="C77" s="19" t="s">
        <v>150</v>
      </c>
      <c r="D77" s="20" t="s">
        <v>32</v>
      </c>
      <c r="E77" s="22">
        <v>1000000</v>
      </c>
      <c r="F77" s="22">
        <v>30</v>
      </c>
      <c r="G77" s="22">
        <f t="shared" si="38"/>
        <v>1000000.0000000001</v>
      </c>
      <c r="H77" s="22">
        <v>77700</v>
      </c>
      <c r="I77" s="22"/>
      <c r="J77" s="22"/>
      <c r="K77" s="22">
        <f t="shared" si="12"/>
        <v>1077700</v>
      </c>
      <c r="L77" s="22">
        <f t="shared" si="27"/>
        <v>40000.000000000007</v>
      </c>
      <c r="M77" s="22">
        <f t="shared" si="28"/>
        <v>40000.000000000007</v>
      </c>
      <c r="N77" s="22"/>
      <c r="O77" s="22"/>
      <c r="P77" s="22">
        <v>0</v>
      </c>
      <c r="Q77" s="22"/>
      <c r="R77" s="22"/>
      <c r="S77" s="22"/>
      <c r="T77" s="22"/>
      <c r="U77" s="22">
        <f t="shared" si="16"/>
        <v>80000.000000000015</v>
      </c>
      <c r="V77" s="23">
        <f>+K77-U77</f>
        <v>997700</v>
      </c>
      <c r="W77" s="23"/>
      <c r="X77" s="64"/>
      <c r="Y77" s="23">
        <f t="shared" si="33"/>
        <v>997700</v>
      </c>
    </row>
    <row r="78" spans="1:26" x14ac:dyDescent="0.25">
      <c r="A78" s="235"/>
      <c r="B78" s="26">
        <v>36</v>
      </c>
      <c r="C78" s="30" t="s">
        <v>152</v>
      </c>
      <c r="D78" s="26" t="s">
        <v>32</v>
      </c>
      <c r="E78" s="22">
        <v>1500000</v>
      </c>
      <c r="F78" s="22">
        <v>30</v>
      </c>
      <c r="G78" s="22">
        <f t="shared" si="38"/>
        <v>1500000</v>
      </c>
      <c r="H78" s="22"/>
      <c r="I78" s="22"/>
      <c r="J78" s="22"/>
      <c r="K78" s="22">
        <f t="shared" si="12"/>
        <v>1500000</v>
      </c>
      <c r="L78" s="22">
        <v>60000</v>
      </c>
      <c r="M78" s="22">
        <v>60000</v>
      </c>
      <c r="N78" s="22"/>
      <c r="O78" s="22"/>
      <c r="P78" s="22">
        <v>0</v>
      </c>
      <c r="Q78" s="22"/>
      <c r="R78" s="22"/>
      <c r="S78" s="22"/>
      <c r="T78" s="22"/>
      <c r="U78" s="22">
        <f t="shared" si="16"/>
        <v>120000</v>
      </c>
      <c r="V78" s="23">
        <f>K78-U78</f>
        <v>1380000</v>
      </c>
      <c r="W78" s="23"/>
      <c r="X78" s="64"/>
      <c r="Y78" s="23">
        <f t="shared" si="33"/>
        <v>1380000</v>
      </c>
    </row>
    <row r="79" spans="1:26" x14ac:dyDescent="0.25">
      <c r="A79" s="235"/>
      <c r="B79" s="26">
        <v>37</v>
      </c>
      <c r="C79" s="30" t="s">
        <v>184</v>
      </c>
      <c r="D79" s="26" t="s">
        <v>32</v>
      </c>
      <c r="E79" s="22">
        <v>689455</v>
      </c>
      <c r="F79" s="22">
        <v>30</v>
      </c>
      <c r="G79" s="22">
        <f t="shared" si="38"/>
        <v>689455</v>
      </c>
      <c r="H79" s="22"/>
      <c r="I79" s="22"/>
      <c r="J79" s="22"/>
      <c r="K79" s="22">
        <f t="shared" si="12"/>
        <v>689455</v>
      </c>
      <c r="L79" s="22">
        <v>0</v>
      </c>
      <c r="M79" s="22"/>
      <c r="N79" s="22"/>
      <c r="O79" s="22">
        <v>230750</v>
      </c>
      <c r="P79" s="22"/>
      <c r="Q79" s="22"/>
      <c r="R79" s="22"/>
      <c r="S79" s="22"/>
      <c r="T79" s="22"/>
      <c r="U79" s="22">
        <f t="shared" si="16"/>
        <v>230750</v>
      </c>
      <c r="V79" s="23">
        <f>K79-U79</f>
        <v>458705</v>
      </c>
      <c r="W79" s="23"/>
      <c r="X79" s="64"/>
      <c r="Y79" s="23">
        <f t="shared" si="33"/>
        <v>458705</v>
      </c>
    </row>
    <row r="80" spans="1:26" ht="24" x14ac:dyDescent="0.25">
      <c r="A80" s="235"/>
      <c r="B80" s="26">
        <v>38</v>
      </c>
      <c r="C80" s="19" t="s">
        <v>155</v>
      </c>
      <c r="D80" s="20" t="s">
        <v>32</v>
      </c>
      <c r="E80" s="22">
        <v>1300000</v>
      </c>
      <c r="F80" s="22">
        <v>30</v>
      </c>
      <c r="G80" s="22">
        <f t="shared" si="38"/>
        <v>1300000</v>
      </c>
      <c r="H80" s="22">
        <v>77700</v>
      </c>
      <c r="I80" s="22"/>
      <c r="J80" s="22"/>
      <c r="K80" s="22">
        <f t="shared" si="12"/>
        <v>1377700</v>
      </c>
      <c r="L80" s="22">
        <f t="shared" si="27"/>
        <v>52000</v>
      </c>
      <c r="M80" s="22">
        <f t="shared" si="28"/>
        <v>52000</v>
      </c>
      <c r="N80" s="22"/>
      <c r="O80" s="22"/>
      <c r="P80" s="22">
        <v>0</v>
      </c>
      <c r="Q80" s="22"/>
      <c r="R80" s="22"/>
      <c r="S80" s="22"/>
      <c r="T80" s="22"/>
      <c r="U80" s="22">
        <f t="shared" si="16"/>
        <v>104000</v>
      </c>
      <c r="V80" s="23">
        <f>+K80-U80</f>
        <v>1273700</v>
      </c>
      <c r="W80" s="23"/>
      <c r="X80" s="64"/>
      <c r="Y80" s="23">
        <f t="shared" si="33"/>
        <v>1273700</v>
      </c>
    </row>
    <row r="81" spans="1:25" x14ac:dyDescent="0.25">
      <c r="A81" s="235"/>
      <c r="B81" s="26">
        <v>39</v>
      </c>
      <c r="C81" s="19" t="s">
        <v>190</v>
      </c>
      <c r="D81" s="20"/>
      <c r="E81" s="22">
        <v>689454</v>
      </c>
      <c r="F81" s="22">
        <v>27</v>
      </c>
      <c r="G81" s="22">
        <f t="shared" si="38"/>
        <v>620508.6</v>
      </c>
      <c r="H81" s="22"/>
      <c r="I81" s="22"/>
      <c r="J81" s="22"/>
      <c r="K81" s="22">
        <f t="shared" si="12"/>
        <v>620508.6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3">
        <f>+K81-U81</f>
        <v>620508.6</v>
      </c>
      <c r="W81" s="23"/>
      <c r="X81" s="64"/>
      <c r="Y81" s="23"/>
    </row>
    <row r="82" spans="1:25" ht="24" x14ac:dyDescent="0.25">
      <c r="A82" s="235"/>
      <c r="B82" s="26">
        <v>40</v>
      </c>
      <c r="C82" s="19" t="s">
        <v>175</v>
      </c>
      <c r="D82" s="20" t="s">
        <v>32</v>
      </c>
      <c r="E82" s="22">
        <v>2000000</v>
      </c>
      <c r="F82" s="22">
        <v>30</v>
      </c>
      <c r="G82" s="22">
        <f t="shared" si="38"/>
        <v>2000000.0000000002</v>
      </c>
      <c r="H82" s="22"/>
      <c r="I82" s="22"/>
      <c r="J82" s="22"/>
      <c r="K82" s="22">
        <f t="shared" si="12"/>
        <v>2000000.0000000002</v>
      </c>
      <c r="L82" s="22">
        <f t="shared" si="27"/>
        <v>80000.000000000015</v>
      </c>
      <c r="M82" s="22">
        <f t="shared" si="28"/>
        <v>80000.000000000015</v>
      </c>
      <c r="N82" s="22"/>
      <c r="O82" s="22"/>
      <c r="P82" s="22"/>
      <c r="Q82" s="22"/>
      <c r="R82" s="22"/>
      <c r="S82" s="22"/>
      <c r="T82" s="22"/>
      <c r="U82" s="22">
        <f t="shared" si="16"/>
        <v>160000.00000000003</v>
      </c>
      <c r="V82" s="23">
        <f>+K82-U82</f>
        <v>1840000.0000000002</v>
      </c>
      <c r="W82" s="23"/>
      <c r="X82" s="64"/>
      <c r="Y82" s="23">
        <f t="shared" si="33"/>
        <v>1840000.0000000002</v>
      </c>
    </row>
    <row r="83" spans="1:25" ht="24" x14ac:dyDescent="0.25">
      <c r="A83" s="235"/>
      <c r="B83" s="26">
        <v>41</v>
      </c>
      <c r="C83" s="19" t="s">
        <v>88</v>
      </c>
      <c r="D83" s="20" t="s">
        <v>32</v>
      </c>
      <c r="E83" s="22">
        <v>3700000</v>
      </c>
      <c r="F83" s="22">
        <v>13</v>
      </c>
      <c r="G83" s="22">
        <f t="shared" si="38"/>
        <v>1603333.3333333333</v>
      </c>
      <c r="H83" s="22"/>
      <c r="I83" s="22"/>
      <c r="J83" s="22"/>
      <c r="K83" s="22">
        <f t="shared" ref="K83" si="39">SUM(G83:I83)+J83</f>
        <v>1603333.3333333333</v>
      </c>
      <c r="L83" s="22">
        <f t="shared" si="27"/>
        <v>64133.333333333328</v>
      </c>
      <c r="M83" s="22">
        <f t="shared" si="28"/>
        <v>64133.333333333328</v>
      </c>
      <c r="N83" s="22"/>
      <c r="O83" s="22"/>
      <c r="P83" s="22"/>
      <c r="Q83" s="22"/>
      <c r="R83" s="22"/>
      <c r="S83" s="22"/>
      <c r="T83" s="22"/>
      <c r="U83" s="22">
        <f t="shared" ref="U83" si="40">SUM(L83:T83)</f>
        <v>128266.66666666666</v>
      </c>
      <c r="V83" s="23">
        <f>+K83-U83</f>
        <v>1475066.6666666665</v>
      </c>
      <c r="W83" s="23"/>
      <c r="X83" s="64"/>
      <c r="Y83" s="23">
        <f t="shared" si="33"/>
        <v>1475066.6666666665</v>
      </c>
    </row>
    <row r="84" spans="1:25" x14ac:dyDescent="0.25">
      <c r="A84" s="235"/>
      <c r="B84" s="26">
        <v>42</v>
      </c>
      <c r="C84" s="19" t="s">
        <v>154</v>
      </c>
      <c r="D84" s="20" t="s">
        <v>105</v>
      </c>
      <c r="E84" s="22">
        <v>1400000</v>
      </c>
      <c r="F84" s="22">
        <v>30</v>
      </c>
      <c r="G84" s="22">
        <f t="shared" si="38"/>
        <v>1400000</v>
      </c>
      <c r="H84" s="22"/>
      <c r="I84" s="22"/>
      <c r="J84" s="22"/>
      <c r="K84" s="22">
        <f t="shared" si="12"/>
        <v>1400000</v>
      </c>
      <c r="L84" s="22">
        <v>56000</v>
      </c>
      <c r="M84" s="22">
        <v>56000</v>
      </c>
      <c r="N84" s="22"/>
      <c r="O84" s="22"/>
      <c r="P84" s="25"/>
      <c r="Q84" s="22"/>
      <c r="R84" s="22"/>
      <c r="S84" s="22"/>
      <c r="T84" s="22"/>
      <c r="U84" s="22">
        <f t="shared" si="16"/>
        <v>112000</v>
      </c>
      <c r="V84" s="23">
        <f>+K84-U84</f>
        <v>1288000</v>
      </c>
      <c r="W84" s="23"/>
      <c r="X84" s="64"/>
      <c r="Y84" s="23">
        <f t="shared" si="33"/>
        <v>1288000</v>
      </c>
    </row>
    <row r="85" spans="1:25" x14ac:dyDescent="0.25">
      <c r="A85" s="235"/>
      <c r="B85" s="26">
        <v>43</v>
      </c>
      <c r="C85" s="30" t="s">
        <v>159</v>
      </c>
      <c r="D85" s="26" t="s">
        <v>32</v>
      </c>
      <c r="E85" s="22">
        <v>1300000</v>
      </c>
      <c r="F85" s="22">
        <v>30</v>
      </c>
      <c r="G85" s="22">
        <f>+E85/30*F85</f>
        <v>1300000</v>
      </c>
      <c r="H85" s="22">
        <v>77700</v>
      </c>
      <c r="I85" s="22"/>
      <c r="J85" s="22"/>
      <c r="K85" s="22">
        <f t="shared" si="12"/>
        <v>1377700</v>
      </c>
      <c r="L85" s="22">
        <f t="shared" si="27"/>
        <v>52000</v>
      </c>
      <c r="M85" s="22">
        <f t="shared" si="28"/>
        <v>52000</v>
      </c>
      <c r="N85" s="22"/>
      <c r="O85" s="22">
        <v>57000</v>
      </c>
      <c r="P85" s="22">
        <v>0</v>
      </c>
      <c r="Q85" s="22"/>
      <c r="R85" s="22"/>
      <c r="S85" s="22"/>
      <c r="T85" s="22">
        <v>249127</v>
      </c>
      <c r="U85" s="22">
        <f t="shared" si="16"/>
        <v>410127</v>
      </c>
      <c r="V85" s="23">
        <f>K85-U85</f>
        <v>967573</v>
      </c>
      <c r="W85" s="23"/>
      <c r="X85" s="64"/>
      <c r="Y85" s="23">
        <f t="shared" si="33"/>
        <v>967573</v>
      </c>
    </row>
    <row r="86" spans="1:25" x14ac:dyDescent="0.25">
      <c r="A86" s="235"/>
      <c r="B86" s="26">
        <v>44</v>
      </c>
      <c r="C86" s="19" t="s">
        <v>161</v>
      </c>
      <c r="D86" s="20" t="s">
        <v>32</v>
      </c>
      <c r="E86" s="22">
        <v>689455</v>
      </c>
      <c r="F86" s="22">
        <v>30</v>
      </c>
      <c r="G86" s="22">
        <f>+E86/30*F86</f>
        <v>689455</v>
      </c>
      <c r="H86" s="22">
        <v>77700</v>
      </c>
      <c r="I86" s="22"/>
      <c r="J86" s="22"/>
      <c r="K86" s="22">
        <f t="shared" si="12"/>
        <v>767155</v>
      </c>
      <c r="L86" s="22">
        <f t="shared" si="27"/>
        <v>27578.2</v>
      </c>
      <c r="M86" s="22">
        <f t="shared" si="28"/>
        <v>27578.2</v>
      </c>
      <c r="N86" s="22"/>
      <c r="O86" s="22"/>
      <c r="P86" s="22">
        <v>0</v>
      </c>
      <c r="Q86" s="22"/>
      <c r="R86" s="22"/>
      <c r="S86" s="22"/>
      <c r="T86" s="22"/>
      <c r="U86" s="22">
        <f t="shared" si="16"/>
        <v>55156.4</v>
      </c>
      <c r="V86" s="23">
        <f>+K86-U86</f>
        <v>711998.6</v>
      </c>
      <c r="W86" s="23"/>
      <c r="X86" s="64"/>
      <c r="Y86" s="23">
        <f t="shared" si="33"/>
        <v>711998.6</v>
      </c>
    </row>
    <row r="87" spans="1:25" ht="24" x14ac:dyDescent="0.25">
      <c r="A87" s="235"/>
      <c r="B87" s="26">
        <v>45</v>
      </c>
      <c r="C87" s="19" t="s">
        <v>163</v>
      </c>
      <c r="D87" s="20" t="s">
        <v>32</v>
      </c>
      <c r="E87" s="22">
        <v>1200000</v>
      </c>
      <c r="F87" s="22">
        <v>30</v>
      </c>
      <c r="G87" s="22">
        <f>+E87/30*F87</f>
        <v>1200000</v>
      </c>
      <c r="H87" s="22">
        <v>77700</v>
      </c>
      <c r="I87" s="22"/>
      <c r="J87" s="22"/>
      <c r="K87" s="22">
        <f t="shared" si="12"/>
        <v>1277700</v>
      </c>
      <c r="L87" s="22">
        <v>48000</v>
      </c>
      <c r="M87" s="22">
        <v>48000</v>
      </c>
      <c r="N87" s="22"/>
      <c r="O87" s="22"/>
      <c r="P87" s="22">
        <v>0</v>
      </c>
      <c r="Q87" s="22"/>
      <c r="R87" s="22"/>
      <c r="S87" s="22"/>
      <c r="T87" s="22"/>
      <c r="U87" s="22">
        <f t="shared" si="16"/>
        <v>96000</v>
      </c>
      <c r="V87" s="23">
        <f>+K87-U87</f>
        <v>1181700</v>
      </c>
      <c r="W87" s="23"/>
      <c r="X87" s="64"/>
      <c r="Y87" s="23">
        <f t="shared" si="33"/>
        <v>1181700</v>
      </c>
    </row>
    <row r="88" spans="1:25" ht="18.75" customHeight="1" x14ac:dyDescent="0.25">
      <c r="A88" s="72"/>
      <c r="B88" s="26">
        <v>46</v>
      </c>
      <c r="C88" s="19" t="s">
        <v>165</v>
      </c>
      <c r="D88" s="20" t="s">
        <v>32</v>
      </c>
      <c r="E88" s="22">
        <v>1300000</v>
      </c>
      <c r="F88" s="22">
        <v>30</v>
      </c>
      <c r="G88" s="22">
        <f t="shared" ref="G88:G91" si="41">+E88/30*F88</f>
        <v>1300000</v>
      </c>
      <c r="H88" s="22">
        <v>77700</v>
      </c>
      <c r="I88" s="22"/>
      <c r="J88" s="22"/>
      <c r="K88" s="22">
        <f t="shared" si="12"/>
        <v>1377700</v>
      </c>
      <c r="L88" s="22">
        <f t="shared" si="27"/>
        <v>52000</v>
      </c>
      <c r="M88" s="22">
        <f t="shared" si="28"/>
        <v>52000</v>
      </c>
      <c r="N88" s="22"/>
      <c r="O88" s="22"/>
      <c r="P88" s="22"/>
      <c r="Q88" s="22"/>
      <c r="R88" s="22"/>
      <c r="S88" s="22"/>
      <c r="T88" s="22"/>
      <c r="U88" s="22">
        <f t="shared" si="16"/>
        <v>104000</v>
      </c>
      <c r="V88" s="23">
        <f>+K88-U88</f>
        <v>1273700</v>
      </c>
      <c r="W88" s="23"/>
      <c r="X88" s="64"/>
      <c r="Y88" s="23">
        <f t="shared" si="33"/>
        <v>1273700</v>
      </c>
    </row>
    <row r="89" spans="1:25" ht="24" x14ac:dyDescent="0.25">
      <c r="A89" s="72"/>
      <c r="B89" s="26">
        <v>47</v>
      </c>
      <c r="C89" s="19" t="s">
        <v>168</v>
      </c>
      <c r="D89" s="20" t="s">
        <v>32</v>
      </c>
      <c r="E89" s="22">
        <v>689455</v>
      </c>
      <c r="F89" s="22">
        <v>30</v>
      </c>
      <c r="G89" s="22">
        <f t="shared" si="41"/>
        <v>689455</v>
      </c>
      <c r="H89" s="22"/>
      <c r="I89" s="22"/>
      <c r="J89" s="22"/>
      <c r="K89" s="22">
        <f t="shared" si="12"/>
        <v>689455</v>
      </c>
      <c r="L89" s="22"/>
      <c r="M89" s="22"/>
      <c r="N89" s="22"/>
      <c r="O89" s="22"/>
      <c r="P89" s="22">
        <v>0</v>
      </c>
      <c r="Q89" s="22"/>
      <c r="R89" s="22"/>
      <c r="S89" s="22"/>
      <c r="T89" s="22"/>
      <c r="U89" s="22">
        <f t="shared" si="16"/>
        <v>0</v>
      </c>
      <c r="V89" s="23">
        <f>K89-U89</f>
        <v>689455</v>
      </c>
      <c r="W89" s="23"/>
      <c r="X89" s="64"/>
      <c r="Y89" s="23">
        <f t="shared" si="33"/>
        <v>689455</v>
      </c>
    </row>
    <row r="90" spans="1:25" ht="24" x14ac:dyDescent="0.25">
      <c r="A90" s="72"/>
      <c r="B90" s="26">
        <v>48</v>
      </c>
      <c r="C90" s="19" t="s">
        <v>176</v>
      </c>
      <c r="D90" s="20" t="s">
        <v>32</v>
      </c>
      <c r="E90" s="22">
        <v>4000000</v>
      </c>
      <c r="F90" s="22">
        <v>30</v>
      </c>
      <c r="G90" s="22">
        <f t="shared" si="41"/>
        <v>4000000.0000000005</v>
      </c>
      <c r="H90" s="22"/>
      <c r="I90" s="22"/>
      <c r="J90" s="22"/>
      <c r="K90" s="22">
        <f t="shared" ref="K90" si="42">SUM(G90:I90)+J90</f>
        <v>4000000.0000000005</v>
      </c>
      <c r="L90" s="22">
        <f t="shared" ref="L90" si="43">+G90*4%</f>
        <v>160000.00000000003</v>
      </c>
      <c r="M90" s="22">
        <f>+G90*5%</f>
        <v>200000.00000000003</v>
      </c>
      <c r="N90" s="22"/>
      <c r="O90" s="22"/>
      <c r="P90" s="22">
        <v>31064</v>
      </c>
      <c r="Q90" s="22"/>
      <c r="R90" s="22"/>
      <c r="S90" s="22"/>
      <c r="T90" s="22"/>
      <c r="U90" s="22">
        <f t="shared" si="16"/>
        <v>391064.00000000006</v>
      </c>
      <c r="V90" s="23">
        <f>+K90-U90</f>
        <v>3608936.0000000005</v>
      </c>
      <c r="W90" s="23"/>
      <c r="X90" s="64"/>
      <c r="Y90" s="23">
        <f t="shared" si="33"/>
        <v>3608936.0000000005</v>
      </c>
    </row>
    <row r="91" spans="1:25" ht="24.75" customHeight="1" x14ac:dyDescent="0.25">
      <c r="A91" s="72"/>
      <c r="B91" s="26">
        <v>49</v>
      </c>
      <c r="C91" s="19" t="s">
        <v>166</v>
      </c>
      <c r="D91" s="20" t="s">
        <v>32</v>
      </c>
      <c r="E91" s="22">
        <v>2500000</v>
      </c>
      <c r="F91" s="22">
        <v>30</v>
      </c>
      <c r="G91" s="22">
        <f t="shared" si="41"/>
        <v>2500000</v>
      </c>
      <c r="H91" s="22"/>
      <c r="I91" s="22"/>
      <c r="J91" s="22"/>
      <c r="K91" s="22">
        <f t="shared" si="12"/>
        <v>2500000</v>
      </c>
      <c r="L91" s="22">
        <v>100000</v>
      </c>
      <c r="M91" s="22">
        <v>100000</v>
      </c>
      <c r="N91" s="22"/>
      <c r="O91" s="22">
        <v>115000</v>
      </c>
      <c r="P91" s="22">
        <v>0</v>
      </c>
      <c r="Q91" s="22"/>
      <c r="R91" s="22"/>
      <c r="S91" s="22"/>
      <c r="T91" s="22"/>
      <c r="U91" s="22">
        <f t="shared" si="16"/>
        <v>315000</v>
      </c>
      <c r="V91" s="23">
        <f>K91-U91</f>
        <v>2185000</v>
      </c>
      <c r="W91" s="23"/>
      <c r="X91" s="64"/>
      <c r="Y91" s="23">
        <f t="shared" si="33"/>
        <v>2185000</v>
      </c>
    </row>
    <row r="92" spans="1:25" x14ac:dyDescent="0.25">
      <c r="A92" s="26"/>
      <c r="B92" s="26"/>
      <c r="C92" s="19" t="s">
        <v>169</v>
      </c>
      <c r="D92" s="26"/>
      <c r="E92" s="22">
        <f>SUM(E4:E91)</f>
        <v>276218529</v>
      </c>
      <c r="F92" s="22" t="s">
        <v>1</v>
      </c>
      <c r="G92" s="22">
        <f>SUM(G4:G91)</f>
        <v>267879600.93333334</v>
      </c>
      <c r="H92" s="22">
        <f>SUM(H5:H87)</f>
        <v>1113050</v>
      </c>
      <c r="I92" s="22">
        <f>SUM(I5:I87)</f>
        <v>11182987</v>
      </c>
      <c r="J92" s="22">
        <f>SUM(J4:J91)</f>
        <v>356667</v>
      </c>
      <c r="K92" s="22">
        <f>SUM(K5:K87)</f>
        <v>267542849.93333334</v>
      </c>
      <c r="L92" s="22">
        <f>SUM(L5:L87)</f>
        <v>10005793.92</v>
      </c>
      <c r="M92" s="22">
        <f>SUM(M5:M87)</f>
        <v>12216378.759999998</v>
      </c>
      <c r="N92" s="22">
        <f>SUM(N5:N87)</f>
        <v>102400</v>
      </c>
      <c r="O92" s="22">
        <f>SUM(O7:O91)</f>
        <v>2027000</v>
      </c>
      <c r="P92" s="22">
        <f>SUM(P5:P87)</f>
        <v>3858355</v>
      </c>
      <c r="Q92" s="22">
        <f>SUM(Q5:Q87)</f>
        <v>8100000</v>
      </c>
      <c r="R92" s="22">
        <f>SUM(R5:R87)</f>
        <v>753795</v>
      </c>
      <c r="S92" s="22"/>
      <c r="T92" s="22">
        <f>SUM(T5:T87)</f>
        <v>4826778</v>
      </c>
      <c r="U92" s="22">
        <f>SUM(U5:U87)</f>
        <v>43453076.640000001</v>
      </c>
      <c r="V92" s="23">
        <f>SUM(V4:V91)</f>
        <v>235843112.29333332</v>
      </c>
      <c r="W92" s="23">
        <f>SUM(W5:W87)</f>
        <v>0</v>
      </c>
      <c r="X92" s="64">
        <f>SUM(X5:X87)</f>
        <v>0</v>
      </c>
      <c r="Y92" s="23">
        <f>SUM(Y4:Y91)</f>
        <v>235222603.69333333</v>
      </c>
    </row>
    <row r="93" spans="1:25" x14ac:dyDescent="0.25">
      <c r="E93" s="76"/>
      <c r="F93" s="76"/>
      <c r="G93" s="76"/>
      <c r="V93" s="77"/>
      <c r="W93" s="77"/>
      <c r="Y93" s="77"/>
    </row>
    <row r="94" spans="1:25" x14ac:dyDescent="0.25">
      <c r="D94" s="75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9"/>
      <c r="W94" s="75"/>
      <c r="X94" s="80"/>
      <c r="Y94" s="79"/>
    </row>
    <row r="95" spans="1:25" x14ac:dyDescent="0.25">
      <c r="D95" s="7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5"/>
      <c r="W95" s="75"/>
      <c r="X95" s="80"/>
      <c r="Y95" s="79"/>
    </row>
    <row r="96" spans="1:25" x14ac:dyDescent="0.25">
      <c r="C96" s="81"/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5"/>
      <c r="W96" s="75"/>
      <c r="X96" s="80"/>
      <c r="Y96" s="79"/>
    </row>
    <row r="97" spans="2:29" x14ac:dyDescent="0.25">
      <c r="C97" s="81"/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5"/>
      <c r="W97" s="75"/>
      <c r="X97" s="80"/>
      <c r="Y97" s="75"/>
      <c r="Z97" s="75"/>
      <c r="AA97" s="75"/>
      <c r="AB97" s="75"/>
      <c r="AC97" s="75"/>
    </row>
    <row r="98" spans="2:29" x14ac:dyDescent="0.25">
      <c r="B98" s="75"/>
      <c r="C98" s="81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76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75"/>
      <c r="AA98" s="75"/>
      <c r="AB98" s="75"/>
      <c r="AC98" s="75"/>
    </row>
    <row r="99" spans="2:29" x14ac:dyDescent="0.25">
      <c r="B99" s="75"/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5"/>
      <c r="W99" s="75"/>
      <c r="X99" s="80"/>
      <c r="Y99" s="75"/>
      <c r="Z99" s="75"/>
      <c r="AA99" s="75"/>
      <c r="AB99" s="75"/>
      <c r="AC99" s="75"/>
    </row>
    <row r="100" spans="2:29" x14ac:dyDescent="0.25">
      <c r="B100" s="75"/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5"/>
      <c r="W100" s="75"/>
      <c r="X100" s="80"/>
      <c r="Y100" s="75"/>
      <c r="Z100" s="75"/>
      <c r="AA100" s="75"/>
      <c r="AB100" s="75"/>
      <c r="AC100" s="75"/>
    </row>
    <row r="101" spans="2:29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5"/>
      <c r="W101" s="75"/>
      <c r="X101" s="80"/>
      <c r="Y101" s="75"/>
      <c r="Z101" s="75"/>
      <c r="AA101" s="75"/>
      <c r="AB101" s="75"/>
      <c r="AC101" s="75"/>
    </row>
    <row r="102" spans="2:29" x14ac:dyDescent="0.25">
      <c r="B102" s="75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4"/>
      <c r="X102" s="85"/>
      <c r="Y102" s="84"/>
      <c r="Z102" s="75"/>
      <c r="AA102" s="75"/>
      <c r="AB102" s="75"/>
      <c r="AC102" s="75"/>
    </row>
    <row r="103" spans="2:29" x14ac:dyDescent="0.25">
      <c r="B103" s="86"/>
      <c r="C103" s="81"/>
      <c r="D103" s="84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4"/>
      <c r="W103" s="84"/>
      <c r="X103" s="85"/>
      <c r="Y103" s="84"/>
      <c r="Z103" s="75"/>
      <c r="AA103" s="75"/>
      <c r="AB103" s="75"/>
      <c r="AC103" s="75"/>
    </row>
    <row r="104" spans="2:29" x14ac:dyDescent="0.25">
      <c r="B104" s="75"/>
      <c r="C104" s="81"/>
      <c r="D104" s="75"/>
      <c r="E104" s="76"/>
      <c r="F104" s="76"/>
      <c r="G104" s="88"/>
      <c r="H104" s="76"/>
      <c r="I104" s="76"/>
      <c r="J104" s="76"/>
      <c r="K104" s="76"/>
      <c r="L104" s="76"/>
      <c r="M104" s="76"/>
      <c r="N104" s="89"/>
      <c r="O104" s="89"/>
      <c r="P104" s="89"/>
      <c r="Q104" s="89"/>
      <c r="R104" s="89"/>
      <c r="S104" s="89"/>
      <c r="T104" s="76"/>
      <c r="U104" s="76"/>
      <c r="V104" s="75"/>
      <c r="W104" s="75"/>
      <c r="X104" s="80"/>
      <c r="Y104" s="75"/>
      <c r="Z104" s="75"/>
      <c r="AA104" s="75"/>
      <c r="AB104" s="75"/>
      <c r="AC104" s="75"/>
    </row>
    <row r="105" spans="2:29" x14ac:dyDescent="0.25">
      <c r="B105" s="75"/>
      <c r="C105" s="90"/>
      <c r="D105" s="84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4"/>
      <c r="W105" s="84"/>
      <c r="X105" s="85"/>
      <c r="Y105" s="84"/>
      <c r="Z105" s="75"/>
      <c r="AA105" s="75"/>
      <c r="AB105" s="75"/>
      <c r="AC105" s="75"/>
    </row>
    <row r="106" spans="2:29" x14ac:dyDescent="0.25">
      <c r="B106" s="84"/>
      <c r="C106" s="90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4"/>
      <c r="W106" s="84"/>
      <c r="X106" s="85"/>
      <c r="Y106" s="84"/>
      <c r="Z106" s="75"/>
      <c r="AA106" s="75"/>
      <c r="AB106" s="75"/>
      <c r="AC106" s="75"/>
    </row>
    <row r="107" spans="2:29" x14ac:dyDescent="0.25">
      <c r="B107" s="75"/>
      <c r="C107" s="90"/>
      <c r="D107" s="84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9"/>
      <c r="W107" s="79"/>
      <c r="X107" s="80"/>
      <c r="Y107" s="79"/>
      <c r="Z107" s="75"/>
      <c r="AA107" s="75"/>
      <c r="AB107" s="75"/>
      <c r="AC107" s="75"/>
    </row>
    <row r="108" spans="2:29" x14ac:dyDescent="0.25">
      <c r="C108" s="90"/>
      <c r="D108" s="8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9"/>
      <c r="W108" s="79"/>
      <c r="X108" s="80"/>
      <c r="Y108" s="79"/>
      <c r="Z108" s="75"/>
      <c r="AA108" s="75"/>
      <c r="AB108" s="75"/>
      <c r="AC108" s="75"/>
    </row>
    <row r="109" spans="2:29" x14ac:dyDescent="0.25"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9"/>
      <c r="W109" s="79"/>
      <c r="X109" s="80"/>
      <c r="Y109" s="79"/>
      <c r="Z109" s="75"/>
      <c r="AA109" s="75"/>
      <c r="AB109" s="75"/>
      <c r="AC109" s="75"/>
    </row>
    <row r="110" spans="2:29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9"/>
      <c r="W110" s="79"/>
      <c r="X110" s="80"/>
      <c r="Y110" s="79"/>
      <c r="Z110" s="75"/>
      <c r="AA110" s="75"/>
      <c r="AB110" s="75"/>
      <c r="AC110" s="75"/>
    </row>
    <row r="111" spans="2:29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9"/>
      <c r="W111" s="79"/>
      <c r="X111" s="80"/>
      <c r="Y111" s="79"/>
      <c r="Z111" s="75"/>
      <c r="AA111" s="75"/>
      <c r="AB111" s="75"/>
      <c r="AC111" s="75"/>
    </row>
    <row r="112" spans="2:29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9"/>
      <c r="W112" s="79"/>
      <c r="X112" s="80"/>
      <c r="Y112" s="79"/>
      <c r="Z112" s="75"/>
      <c r="AA112" s="75"/>
      <c r="AB112" s="75"/>
      <c r="AC112" s="75"/>
    </row>
    <row r="113" spans="2:29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9"/>
      <c r="W113" s="79"/>
      <c r="X113" s="80"/>
      <c r="Y113" s="79"/>
      <c r="Z113" s="75"/>
      <c r="AA113" s="75"/>
      <c r="AB113" s="75"/>
      <c r="AC113" s="75"/>
    </row>
    <row r="114" spans="2:29" x14ac:dyDescent="0.25">
      <c r="C114" s="90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9"/>
      <c r="W114" s="79"/>
      <c r="X114" s="80"/>
      <c r="Y114" s="79"/>
      <c r="Z114" s="75"/>
      <c r="AA114" s="75"/>
      <c r="AB114" s="75"/>
      <c r="AC114" s="75"/>
    </row>
    <row r="115" spans="2:29" x14ac:dyDescent="0.25">
      <c r="C115" s="90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9"/>
      <c r="W115" s="79"/>
      <c r="X115" s="80"/>
      <c r="Y115" s="79"/>
      <c r="Z115" s="75"/>
      <c r="AA115" s="75"/>
      <c r="AB115" s="75"/>
      <c r="AC115" s="75"/>
    </row>
    <row r="116" spans="2:29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9"/>
      <c r="W116" s="79"/>
      <c r="X116" s="80"/>
      <c r="Y116" s="79"/>
      <c r="Z116" s="75"/>
      <c r="AA116" s="75"/>
      <c r="AB116" s="75"/>
      <c r="AC116" s="75"/>
    </row>
    <row r="117" spans="2:29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9"/>
      <c r="W117" s="79"/>
      <c r="X117" s="80"/>
      <c r="Y117" s="79"/>
      <c r="Z117" s="75"/>
      <c r="AA117" s="75"/>
      <c r="AB117" s="75"/>
      <c r="AC117" s="75"/>
    </row>
    <row r="118" spans="2:29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9"/>
      <c r="W118" s="79"/>
      <c r="X118" s="80"/>
      <c r="Y118" s="79"/>
      <c r="Z118" s="75"/>
      <c r="AA118" s="75"/>
      <c r="AB118" s="75"/>
      <c r="AC118" s="75"/>
    </row>
    <row r="119" spans="2:29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9"/>
      <c r="W119" s="79"/>
      <c r="X119" s="80"/>
      <c r="Y119" s="79"/>
      <c r="Z119" s="75"/>
      <c r="AA119" s="75"/>
      <c r="AB119" s="75"/>
      <c r="AC119" s="75"/>
    </row>
    <row r="120" spans="2:29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9"/>
      <c r="W120" s="79"/>
      <c r="X120" s="80"/>
      <c r="Y120" s="79"/>
      <c r="Z120" s="75"/>
      <c r="AA120" s="75"/>
      <c r="AB120" s="75"/>
      <c r="AC120" s="75"/>
    </row>
    <row r="121" spans="2:29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9"/>
      <c r="W121" s="79"/>
      <c r="X121" s="80"/>
      <c r="Y121" s="79"/>
      <c r="Z121" s="75"/>
      <c r="AA121" s="75"/>
      <c r="AB121" s="75"/>
      <c r="AC121" s="75"/>
    </row>
    <row r="122" spans="2:29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9"/>
      <c r="W122" s="79"/>
      <c r="X122" s="80"/>
      <c r="Y122" s="79"/>
      <c r="Z122" s="75"/>
      <c r="AA122" s="75"/>
      <c r="AB122" s="75"/>
      <c r="AC122" s="75"/>
    </row>
    <row r="123" spans="2:29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9"/>
      <c r="W123" s="79"/>
      <c r="X123" s="80"/>
      <c r="Y123" s="79"/>
      <c r="Z123" s="75"/>
      <c r="AA123" s="75"/>
      <c r="AB123" s="75"/>
      <c r="AC123" s="75"/>
    </row>
    <row r="124" spans="2:29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9"/>
      <c r="W124" s="79"/>
      <c r="X124" s="80"/>
      <c r="Y124" s="79"/>
      <c r="Z124" s="75"/>
      <c r="AA124" s="75"/>
      <c r="AB124" s="75"/>
      <c r="AC124" s="75"/>
    </row>
    <row r="125" spans="2:29" x14ac:dyDescent="0.25">
      <c r="C125" s="81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5"/>
      <c r="W125" s="75"/>
      <c r="X125" s="80"/>
      <c r="Y125" s="75"/>
      <c r="Z125" s="75"/>
      <c r="AA125" s="75"/>
      <c r="AB125" s="75"/>
      <c r="AC125" s="75"/>
    </row>
    <row r="126" spans="2:29" x14ac:dyDescent="0.25">
      <c r="C126" s="81"/>
      <c r="D126" s="75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75"/>
      <c r="S126" s="75"/>
      <c r="T126" s="76"/>
      <c r="U126" s="76"/>
      <c r="V126" s="75"/>
      <c r="W126" s="75"/>
      <c r="X126" s="80"/>
      <c r="Y126" s="75"/>
      <c r="Z126" s="75"/>
      <c r="AA126" s="75"/>
      <c r="AB126" s="75"/>
      <c r="AC126" s="75"/>
    </row>
    <row r="127" spans="2:29" x14ac:dyDescent="0.25">
      <c r="B127" s="75"/>
      <c r="C127" s="81"/>
      <c r="D127" s="231"/>
      <c r="E127" s="231"/>
      <c r="F127" s="231"/>
      <c r="G127" s="231"/>
      <c r="H127" s="231"/>
      <c r="I127" s="231"/>
      <c r="J127" s="231"/>
      <c r="K127" s="231"/>
      <c r="L127" s="231"/>
      <c r="M127" s="231"/>
      <c r="N127" s="231"/>
      <c r="O127" s="231"/>
      <c r="P127" s="231"/>
      <c r="Q127" s="231"/>
      <c r="R127" s="231"/>
      <c r="S127" s="231"/>
      <c r="T127" s="231"/>
      <c r="U127" s="231"/>
      <c r="V127" s="231"/>
      <c r="W127" s="231"/>
      <c r="X127" s="231"/>
      <c r="Y127" s="231"/>
      <c r="Z127" s="75"/>
      <c r="AA127" s="75"/>
      <c r="AB127" s="75"/>
      <c r="AC127" s="75"/>
    </row>
    <row r="128" spans="2:29" x14ac:dyDescent="0.25">
      <c r="B128" s="75"/>
      <c r="C128" s="81"/>
      <c r="D128" s="75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4"/>
      <c r="W128" s="84"/>
      <c r="X128" s="85"/>
      <c r="Y128" s="84"/>
      <c r="Z128" s="75"/>
      <c r="AA128" s="75"/>
      <c r="AB128" s="75"/>
      <c r="AC128" s="75"/>
    </row>
    <row r="129" spans="2:25" x14ac:dyDescent="0.25">
      <c r="B129" s="75"/>
      <c r="C129" s="90"/>
      <c r="D129" s="84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4"/>
      <c r="W129" s="84"/>
      <c r="X129" s="85"/>
      <c r="Y129" s="84"/>
    </row>
    <row r="130" spans="2:25" x14ac:dyDescent="0.25">
      <c r="B130" s="91"/>
      <c r="C130" s="90"/>
      <c r="D130" s="84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4"/>
      <c r="W130" s="84"/>
      <c r="X130" s="85"/>
      <c r="Y130" s="84"/>
    </row>
    <row r="131" spans="2:25" x14ac:dyDescent="0.25">
      <c r="C131" s="90"/>
      <c r="D131" s="84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9"/>
      <c r="W131" s="79"/>
      <c r="X131" s="80"/>
      <c r="Y131" s="79"/>
    </row>
    <row r="132" spans="2:25" x14ac:dyDescent="0.25">
      <c r="C132" s="90"/>
      <c r="D132" s="8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9"/>
      <c r="W132" s="79"/>
      <c r="X132" s="80"/>
      <c r="Y132" s="79"/>
    </row>
    <row r="133" spans="2:25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9"/>
      <c r="W133" s="79"/>
      <c r="X133" s="80"/>
      <c r="Y133" s="79"/>
    </row>
    <row r="134" spans="2:25" x14ac:dyDescent="0.25">
      <c r="C134" s="81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9"/>
      <c r="W134" s="79"/>
      <c r="X134" s="80"/>
      <c r="Y134" s="79"/>
    </row>
    <row r="135" spans="2:25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9"/>
      <c r="W135" s="79"/>
      <c r="X135" s="80"/>
      <c r="Y135" s="79"/>
    </row>
    <row r="136" spans="2:25" x14ac:dyDescent="0.25">
      <c r="C136" s="81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5"/>
      <c r="W136" s="75"/>
      <c r="X136" s="80"/>
      <c r="Y136" s="75"/>
    </row>
    <row r="137" spans="2:25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9"/>
      <c r="W137" s="79"/>
      <c r="X137" s="80"/>
      <c r="Y137" s="79"/>
    </row>
    <row r="138" spans="2:25" x14ac:dyDescent="0.25">
      <c r="B138" s="75"/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5"/>
      <c r="W138" s="75"/>
      <c r="X138" s="80"/>
      <c r="Y138" s="75"/>
    </row>
    <row r="139" spans="2:25" x14ac:dyDescent="0.25">
      <c r="B139" s="75"/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5"/>
      <c r="W139" s="75"/>
      <c r="X139" s="80"/>
      <c r="Y139" s="75"/>
    </row>
    <row r="140" spans="2:25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92"/>
      <c r="W140" s="92"/>
      <c r="X140" s="80"/>
      <c r="Y140" s="92"/>
    </row>
    <row r="141" spans="2:25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93"/>
      <c r="W141" s="93"/>
      <c r="X141" s="80"/>
      <c r="Y141" s="93"/>
    </row>
    <row r="142" spans="2:25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5"/>
      <c r="W142" s="75"/>
      <c r="X142" s="80"/>
      <c r="Y142" s="75"/>
    </row>
    <row r="143" spans="2:25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5"/>
      <c r="W143" s="75"/>
      <c r="X143" s="80"/>
      <c r="Y143" s="75"/>
    </row>
    <row r="144" spans="2:25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5"/>
      <c r="W144" s="75"/>
      <c r="X144" s="80"/>
      <c r="Y144" s="75"/>
    </row>
    <row r="145" spans="3:25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5"/>
      <c r="W145" s="75"/>
      <c r="X145" s="80"/>
      <c r="Y145" s="75"/>
    </row>
    <row r="146" spans="3:25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5"/>
      <c r="W146" s="75"/>
      <c r="X146" s="80"/>
      <c r="Y146" s="75"/>
    </row>
    <row r="147" spans="3:25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5"/>
      <c r="W147" s="75"/>
      <c r="X147" s="80"/>
      <c r="Y147" s="75"/>
    </row>
    <row r="148" spans="3:25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5"/>
      <c r="W148" s="75"/>
      <c r="X148" s="80"/>
      <c r="Y148" s="75"/>
    </row>
    <row r="149" spans="3:25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>
        <v>3003000</v>
      </c>
      <c r="M149" s="76"/>
      <c r="N149" s="76"/>
      <c r="O149" s="76"/>
      <c r="P149" s="76"/>
      <c r="Q149" s="76"/>
      <c r="R149" s="76"/>
      <c r="S149" s="76"/>
      <c r="T149" s="76"/>
      <c r="U149" s="76"/>
      <c r="V149" s="75"/>
      <c r="W149" s="75"/>
      <c r="X149" s="80"/>
      <c r="Y149" s="75"/>
    </row>
    <row r="150" spans="3:25" x14ac:dyDescent="0.25">
      <c r="C150" s="90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5"/>
      <c r="W150" s="75"/>
      <c r="X150" s="80"/>
      <c r="Y150" s="75"/>
    </row>
    <row r="151" spans="3:25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5"/>
      <c r="W151" s="75"/>
      <c r="X151" s="80"/>
      <c r="Y151" s="75"/>
    </row>
    <row r="152" spans="3:25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5"/>
      <c r="W152" s="75"/>
      <c r="X152" s="80"/>
      <c r="Y152" s="75"/>
    </row>
    <row r="153" spans="3:25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5"/>
      <c r="W153" s="75"/>
      <c r="X153" s="80"/>
      <c r="Y153" s="75"/>
    </row>
    <row r="154" spans="3:25" x14ac:dyDescent="0.25">
      <c r="C154" s="81">
        <v>42614840</v>
      </c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>
        <v>412608</v>
      </c>
      <c r="V154" s="75"/>
      <c r="W154" s="75"/>
      <c r="X154" s="80"/>
      <c r="Y154" s="75"/>
    </row>
    <row r="155" spans="3:25" x14ac:dyDescent="0.25">
      <c r="C155" s="81">
        <v>9675182</v>
      </c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>
        <v>1880000</v>
      </c>
      <c r="V155" s="75"/>
      <c r="W155" s="75"/>
      <c r="X155" s="80"/>
      <c r="Y155" s="75"/>
    </row>
    <row r="156" spans="3:25" x14ac:dyDescent="0.25">
      <c r="C156" s="81">
        <v>17903600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5"/>
      <c r="W156" s="75"/>
      <c r="X156" s="80"/>
      <c r="Y156" s="75"/>
    </row>
    <row r="157" spans="3:25" x14ac:dyDescent="0.25">
      <c r="C157" s="81">
        <f>SUM(C154:C156)</f>
        <v>70193622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5"/>
      <c r="W157" s="75"/>
      <c r="X157" s="80"/>
      <c r="Y157" s="75"/>
    </row>
    <row r="158" spans="3:25" x14ac:dyDescent="0.25">
      <c r="C158" s="81">
        <v>400000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5"/>
      <c r="W158" s="75"/>
      <c r="X158" s="80"/>
      <c r="Y158" s="75"/>
    </row>
    <row r="159" spans="3:25" x14ac:dyDescent="0.25">
      <c r="C159" s="81">
        <f>+C157+C158</f>
        <v>70593622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5"/>
      <c r="W159" s="75"/>
      <c r="X159" s="80"/>
      <c r="Y159" s="75"/>
    </row>
    <row r="162" spans="3:3" x14ac:dyDescent="0.25">
      <c r="C162" s="74">
        <v>64000000</v>
      </c>
    </row>
    <row r="163" spans="3:3" x14ac:dyDescent="0.25">
      <c r="C163" s="74">
        <v>11000000</v>
      </c>
    </row>
    <row r="164" spans="3:3" x14ac:dyDescent="0.25">
      <c r="C164" s="74">
        <f>+C162+C163</f>
        <v>75000000</v>
      </c>
    </row>
    <row r="168" spans="3:3" x14ac:dyDescent="0.25">
      <c r="C168" s="74">
        <v>2745000</v>
      </c>
    </row>
    <row r="169" spans="3:3" x14ac:dyDescent="0.25">
      <c r="C169" s="74">
        <v>3185000</v>
      </c>
    </row>
    <row r="170" spans="3:3" x14ac:dyDescent="0.25">
      <c r="C170" s="74">
        <v>1080000</v>
      </c>
    </row>
    <row r="171" spans="3:3" x14ac:dyDescent="0.25">
      <c r="C171" s="74">
        <v>4850100</v>
      </c>
    </row>
    <row r="172" spans="3:3" x14ac:dyDescent="0.25">
      <c r="C172" s="74">
        <v>5027500</v>
      </c>
    </row>
    <row r="173" spans="3:3" x14ac:dyDescent="0.25">
      <c r="C173" s="74">
        <v>4566000</v>
      </c>
    </row>
    <row r="174" spans="3:3" x14ac:dyDescent="0.25">
      <c r="C174" s="74">
        <v>1050000</v>
      </c>
    </row>
    <row r="175" spans="3:3" x14ac:dyDescent="0.25">
      <c r="C175" s="74">
        <v>3877333</v>
      </c>
    </row>
    <row r="176" spans="3:3" x14ac:dyDescent="0.25">
      <c r="C176" s="74">
        <v>6732440</v>
      </c>
    </row>
    <row r="177" spans="3:3" x14ac:dyDescent="0.25">
      <c r="C177" s="74">
        <v>3460000</v>
      </c>
    </row>
    <row r="178" spans="3:3" x14ac:dyDescent="0.25">
      <c r="C178" s="74">
        <v>588800</v>
      </c>
    </row>
    <row r="179" spans="3:3" x14ac:dyDescent="0.25">
      <c r="C179" s="74">
        <v>1868000</v>
      </c>
    </row>
    <row r="180" spans="3:3" x14ac:dyDescent="0.25">
      <c r="C180" s="74">
        <v>10313000</v>
      </c>
    </row>
    <row r="181" spans="3:3" x14ac:dyDescent="0.25">
      <c r="C181" s="74">
        <v>3443800</v>
      </c>
    </row>
    <row r="182" spans="3:3" x14ac:dyDescent="0.25">
      <c r="C182" s="74">
        <v>8136400</v>
      </c>
    </row>
    <row r="183" spans="3:3" x14ac:dyDescent="0.25">
      <c r="C183" s="74">
        <v>9675183</v>
      </c>
    </row>
    <row r="184" spans="3:3" x14ac:dyDescent="0.25">
      <c r="C184" s="74">
        <f>SUM(C168:C183)</f>
        <v>70598556</v>
      </c>
    </row>
  </sheetData>
  <mergeCells count="7">
    <mergeCell ref="D127:Y127"/>
    <mergeCell ref="C1:V1"/>
    <mergeCell ref="E2:K2"/>
    <mergeCell ref="L2:U2"/>
    <mergeCell ref="A3:A42"/>
    <mergeCell ref="A43:A87"/>
    <mergeCell ref="E126:Q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186"/>
  <sheetViews>
    <sheetView workbookViewId="0">
      <selection activeCell="G15" sqref="G15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36" t="s">
        <v>191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8"/>
      <c r="V1" s="26"/>
      <c r="W1" s="64"/>
      <c r="X1" s="26"/>
    </row>
    <row r="2" spans="1:24" x14ac:dyDescent="0.25">
      <c r="C2" s="30" t="s">
        <v>1</v>
      </c>
      <c r="D2" s="26"/>
      <c r="E2" s="239" t="s">
        <v>2</v>
      </c>
      <c r="F2" s="240"/>
      <c r="G2" s="240"/>
      <c r="H2" s="240"/>
      <c r="I2" s="240"/>
      <c r="J2" s="240"/>
      <c r="K2" s="241"/>
      <c r="L2" s="239" t="s">
        <v>3</v>
      </c>
      <c r="M2" s="240"/>
      <c r="N2" s="240"/>
      <c r="O2" s="240"/>
      <c r="P2" s="240"/>
      <c r="Q2" s="240"/>
      <c r="R2" s="240"/>
      <c r="S2" s="240"/>
      <c r="T2" s="241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186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66"/>
      <c r="X3" s="20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0" si="1">SUM(G4:I4)+J4</f>
        <v>4500000</v>
      </c>
      <c r="L4" s="22">
        <f t="shared" ref="L4:L42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>
        <f t="shared" ref="T4:T44" si="3">SUM(L4:S4)</f>
        <v>503752</v>
      </c>
      <c r="U4" s="23">
        <f>+K4-T4</f>
        <v>3996248</v>
      </c>
      <c r="V4" s="23"/>
      <c r="W4" s="64"/>
      <c r="X4" s="23">
        <f t="shared" ref="X4:X67" si="4">U4+V4-W4</f>
        <v>3996248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1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3608936.0000000005</v>
      </c>
      <c r="V5" s="23"/>
      <c r="W5" s="64"/>
      <c r="X5" s="23">
        <f t="shared" si="4"/>
        <v>3608936.0000000005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>
        <f t="shared" si="3"/>
        <v>315000</v>
      </c>
      <c r="U6" s="23">
        <f>+K6-T6</f>
        <v>4185000</v>
      </c>
      <c r="V6" s="23"/>
      <c r="W6" s="64"/>
      <c r="X6" s="23">
        <f t="shared" si="4"/>
        <v>4185000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64"/>
      <c r="X7" s="23">
        <f t="shared" si="4"/>
        <v>3833211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64"/>
      <c r="X8" s="23">
        <f t="shared" si="4"/>
        <v>6014299</v>
      </c>
    </row>
    <row r="9" spans="1:24" ht="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>
        <f t="shared" si="3"/>
        <v>380545</v>
      </c>
      <c r="U9" s="23">
        <f>K9-T9</f>
        <v>3819455</v>
      </c>
      <c r="V9" s="23"/>
      <c r="W9" s="64"/>
      <c r="X9" s="23">
        <f t="shared" si="4"/>
        <v>3819455</v>
      </c>
    </row>
    <row r="10" spans="1:24" ht="17.25" customHeight="1" x14ac:dyDescent="0.25">
      <c r="A10" s="233"/>
      <c r="B10" s="26">
        <v>7</v>
      </c>
      <c r="C10" s="19" t="s">
        <v>41</v>
      </c>
      <c r="D10" s="20" t="s">
        <v>32</v>
      </c>
      <c r="E10" s="22">
        <v>5500000</v>
      </c>
      <c r="F10" s="22">
        <v>30</v>
      </c>
      <c r="G10" s="22">
        <f>E10/30*F10</f>
        <v>5500000</v>
      </c>
      <c r="H10" s="22"/>
      <c r="I10" s="22"/>
      <c r="J10" s="22"/>
      <c r="K10" s="22">
        <f t="shared" si="1"/>
        <v>5500000</v>
      </c>
      <c r="L10" s="22">
        <f t="shared" si="2"/>
        <v>220000</v>
      </c>
      <c r="M10" s="22">
        <f t="shared" si="5"/>
        <v>275000</v>
      </c>
      <c r="N10" s="22"/>
      <c r="O10" s="22"/>
      <c r="P10" s="25">
        <v>234000</v>
      </c>
      <c r="Q10" s="22"/>
      <c r="R10" s="22"/>
      <c r="S10" s="22"/>
      <c r="T10" s="22">
        <f t="shared" si="3"/>
        <v>729000</v>
      </c>
      <c r="U10" s="23">
        <f>K10-T10</f>
        <v>4771000</v>
      </c>
      <c r="V10" s="23"/>
      <c r="W10" s="64"/>
      <c r="X10" s="23">
        <f t="shared" si="4"/>
        <v>4771000</v>
      </c>
    </row>
    <row r="11" spans="1:24" x14ac:dyDescent="0.25">
      <c r="A11" s="233"/>
      <c r="B11" s="26">
        <v>8</v>
      </c>
      <c r="C11" s="28" t="s">
        <v>44</v>
      </c>
      <c r="D11" s="29" t="s">
        <v>32</v>
      </c>
      <c r="E11" s="22">
        <v>5000000</v>
      </c>
      <c r="F11" s="22">
        <v>29</v>
      </c>
      <c r="G11" s="22">
        <f>+E11/30*F11</f>
        <v>4833333.333333333</v>
      </c>
      <c r="H11" s="22"/>
      <c r="I11" s="22">
        <v>136000</v>
      </c>
      <c r="J11" s="22">
        <v>166667</v>
      </c>
      <c r="K11" s="22">
        <f t="shared" si="1"/>
        <v>5136000.333333333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6">+K11-T11</f>
        <v>4679752.333333333</v>
      </c>
      <c r="V11" s="23"/>
      <c r="W11" s="64"/>
      <c r="X11" s="23">
        <f t="shared" si="4"/>
        <v>4679752.333333333</v>
      </c>
    </row>
    <row r="12" spans="1:24" x14ac:dyDescent="0.25">
      <c r="A12" s="233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6"/>
        <v>3942950</v>
      </c>
      <c r="V12" s="23"/>
      <c r="W12" s="64"/>
      <c r="X12" s="23">
        <f t="shared" si="4"/>
        <v>3942950</v>
      </c>
    </row>
    <row r="13" spans="1:24" x14ac:dyDescent="0.25">
      <c r="A13" s="233"/>
      <c r="B13" s="26">
        <v>10</v>
      </c>
      <c r="C13" s="30" t="s">
        <v>172</v>
      </c>
      <c r="D13" s="26" t="s">
        <v>32</v>
      </c>
      <c r="E13" s="22">
        <v>4500000</v>
      </c>
      <c r="F13" s="22">
        <v>29</v>
      </c>
      <c r="G13" s="22">
        <f t="shared" si="7"/>
        <v>4350000</v>
      </c>
      <c r="H13" s="22"/>
      <c r="I13" s="22"/>
      <c r="J13" s="22"/>
      <c r="K13" s="22">
        <f t="shared" si="1"/>
        <v>4350000</v>
      </c>
      <c r="L13" s="22">
        <v>180000</v>
      </c>
      <c r="M13" s="22">
        <v>225000</v>
      </c>
      <c r="N13" s="22"/>
      <c r="O13" s="22"/>
      <c r="P13" s="22">
        <v>98752</v>
      </c>
      <c r="Q13" s="22"/>
      <c r="R13" s="22"/>
      <c r="S13" s="22"/>
      <c r="T13" s="22">
        <f t="shared" si="3"/>
        <v>503752</v>
      </c>
      <c r="U13" s="23">
        <f t="shared" si="6"/>
        <v>3846248</v>
      </c>
      <c r="V13" s="23"/>
      <c r="W13" s="64"/>
      <c r="X13" s="23">
        <f t="shared" si="4"/>
        <v>3846248</v>
      </c>
    </row>
    <row r="14" spans="1:24" x14ac:dyDescent="0.25">
      <c r="A14" s="233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>
        <f t="shared" si="3"/>
        <v>1045521</v>
      </c>
      <c r="U14" s="23">
        <f t="shared" si="6"/>
        <v>4454479</v>
      </c>
      <c r="V14" s="23"/>
      <c r="W14" s="64"/>
      <c r="X14" s="23">
        <f t="shared" si="4"/>
        <v>4454479</v>
      </c>
    </row>
    <row r="15" spans="1:24" ht="21.75" customHeight="1" x14ac:dyDescent="0.25">
      <c r="A15" s="233"/>
      <c r="B15" s="26">
        <v>12</v>
      </c>
      <c r="C15" s="19" t="s">
        <v>51</v>
      </c>
      <c r="D15" s="20" t="s">
        <v>32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>
        <v>0</v>
      </c>
      <c r="Q15" s="22"/>
      <c r="R15" s="22">
        <v>200000</v>
      </c>
      <c r="S15" s="22"/>
      <c r="T15" s="22">
        <f t="shared" si="3"/>
        <v>515000</v>
      </c>
      <c r="U15" s="23">
        <f t="shared" si="6"/>
        <v>2985000</v>
      </c>
      <c r="V15" s="23"/>
      <c r="W15" s="64"/>
      <c r="X15" s="23">
        <f t="shared" si="4"/>
        <v>2985000</v>
      </c>
    </row>
    <row r="16" spans="1:24" ht="24" x14ac:dyDescent="0.25">
      <c r="A16" s="233"/>
      <c r="B16" s="26">
        <v>13</v>
      </c>
      <c r="C16" s="19" t="s">
        <v>54</v>
      </c>
      <c r="D16" s="20" t="s">
        <v>32</v>
      </c>
      <c r="E16" s="22">
        <v>5000000</v>
      </c>
      <c r="F16" s="22">
        <v>27</v>
      </c>
      <c r="G16" s="22">
        <f>E16/30*F16+333351</f>
        <v>4833351</v>
      </c>
      <c r="H16" s="22">
        <v>90000</v>
      </c>
      <c r="I16" s="22">
        <v>900000</v>
      </c>
      <c r="J16" s="22"/>
      <c r="K16" s="22">
        <f t="shared" si="1"/>
        <v>5823351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5274599</v>
      </c>
      <c r="V16" s="23"/>
      <c r="W16" s="64"/>
      <c r="X16" s="23">
        <f t="shared" si="4"/>
        <v>5274599</v>
      </c>
    </row>
    <row r="17" spans="1:24" x14ac:dyDescent="0.25">
      <c r="A17" s="233"/>
      <c r="B17" s="26">
        <v>14</v>
      </c>
      <c r="C17" s="19" t="s">
        <v>52</v>
      </c>
      <c r="D17" s="20" t="s">
        <v>32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/>
      <c r="T17" s="22">
        <f t="shared" si="3"/>
        <v>836432</v>
      </c>
      <c r="U17" s="23">
        <f>+K17-T17</f>
        <v>3963568</v>
      </c>
      <c r="V17" s="23"/>
      <c r="W17" s="64"/>
      <c r="X17" s="23">
        <f t="shared" si="4"/>
        <v>3963568</v>
      </c>
    </row>
    <row r="18" spans="1:24" x14ac:dyDescent="0.25">
      <c r="A18" s="233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64"/>
      <c r="X18" s="23">
        <f t="shared" si="4"/>
        <v>4410167</v>
      </c>
    </row>
    <row r="19" spans="1:24" x14ac:dyDescent="0.25">
      <c r="A19" s="233"/>
      <c r="B19" s="26">
        <v>16</v>
      </c>
      <c r="C19" s="19" t="s">
        <v>192</v>
      </c>
      <c r="D19" s="20" t="s">
        <v>32</v>
      </c>
      <c r="E19" s="22">
        <v>5500000</v>
      </c>
      <c r="F19" s="22">
        <v>8</v>
      </c>
      <c r="G19" s="22">
        <f t="shared" si="8"/>
        <v>1466666.6666666667</v>
      </c>
      <c r="H19" s="22"/>
      <c r="I19" s="22"/>
      <c r="J19" s="22"/>
      <c r="K19" s="22">
        <f t="shared" ref="K19" si="9">SUM(G19:I19)+J19</f>
        <v>1466666.6666666667</v>
      </c>
      <c r="L19" s="22">
        <f t="shared" si="2"/>
        <v>58666.666666666672</v>
      </c>
      <c r="M19" s="22">
        <f t="shared" si="5"/>
        <v>73333.333333333343</v>
      </c>
      <c r="N19" s="22"/>
      <c r="O19" s="22"/>
      <c r="P19" s="25"/>
      <c r="Q19" s="22"/>
      <c r="R19" s="22"/>
      <c r="S19" s="22"/>
      <c r="T19" s="22">
        <f t="shared" si="3"/>
        <v>132000</v>
      </c>
      <c r="U19" s="23">
        <f>K19-T19</f>
        <v>1334666.6666666667</v>
      </c>
      <c r="V19" s="23"/>
      <c r="W19" s="64"/>
      <c r="X19" s="23">
        <f t="shared" si="4"/>
        <v>1334666.6666666667</v>
      </c>
    </row>
    <row r="20" spans="1:24" ht="36" customHeight="1" x14ac:dyDescent="0.25">
      <c r="A20" s="233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64"/>
      <c r="X20" s="23">
        <f t="shared" si="4"/>
        <v>3995199</v>
      </c>
    </row>
    <row r="21" spans="1:24" x14ac:dyDescent="0.25">
      <c r="A21" s="233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>
        <f t="shared" si="3"/>
        <v>549500</v>
      </c>
      <c r="U21" s="23">
        <f>+K21-T21</f>
        <v>3450500.0000000005</v>
      </c>
      <c r="V21" s="23"/>
      <c r="W21" s="64"/>
      <c r="X21" s="23">
        <f t="shared" si="4"/>
        <v>3450500.0000000005</v>
      </c>
    </row>
    <row r="22" spans="1:24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8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>
        <v>185340</v>
      </c>
      <c r="T22" s="22">
        <f t="shared" si="3"/>
        <v>782311.75</v>
      </c>
      <c r="U22" s="23">
        <f>K22-T22</f>
        <v>4249363.25</v>
      </c>
      <c r="V22" s="23"/>
      <c r="W22" s="64"/>
      <c r="X22" s="23">
        <f t="shared" si="4"/>
        <v>4249363.25</v>
      </c>
    </row>
    <row r="23" spans="1:24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64"/>
      <c r="X23" s="23">
        <f t="shared" si="4"/>
        <v>4296000</v>
      </c>
    </row>
    <row r="24" spans="1:24" x14ac:dyDescent="0.25">
      <c r="A24" s="233"/>
      <c r="B24" s="26">
        <v>21</v>
      </c>
      <c r="C24" s="28" t="s">
        <v>65</v>
      </c>
      <c r="D24" s="29" t="s">
        <v>32</v>
      </c>
      <c r="E24" s="22">
        <v>4500000</v>
      </c>
      <c r="F24" s="22">
        <v>30</v>
      </c>
      <c r="G24" s="22">
        <f t="shared" ref="G24:G47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64"/>
      <c r="X24" s="23">
        <f t="shared" si="4"/>
        <v>4022854</v>
      </c>
    </row>
    <row r="25" spans="1:24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25</v>
      </c>
      <c r="G25" s="22">
        <f>E25/30*F25</f>
        <v>3333333.3333333335</v>
      </c>
      <c r="H25" s="22"/>
      <c r="I25" s="22"/>
      <c r="J25" s="22">
        <v>666667</v>
      </c>
      <c r="K25" s="22">
        <f t="shared" si="1"/>
        <v>4000000.3333333335</v>
      </c>
      <c r="L25" s="22">
        <v>160000</v>
      </c>
      <c r="M25" s="22">
        <v>200000</v>
      </c>
      <c r="N25" s="22"/>
      <c r="O25" s="22">
        <v>276500</v>
      </c>
      <c r="P25" s="25">
        <v>31064</v>
      </c>
      <c r="Q25" s="22"/>
      <c r="R25" s="22"/>
      <c r="S25" s="22"/>
      <c r="T25" s="22">
        <f t="shared" si="3"/>
        <v>667564</v>
      </c>
      <c r="U25" s="23">
        <f>K25-T25</f>
        <v>3332436.3333333335</v>
      </c>
      <c r="V25" s="23"/>
      <c r="W25" s="64"/>
      <c r="X25" s="23">
        <f t="shared" si="4"/>
        <v>3332436.3333333335</v>
      </c>
    </row>
    <row r="26" spans="1:24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9" si="11">+K26-T26</f>
        <v>4420146</v>
      </c>
      <c r="V26" s="23"/>
      <c r="W26" s="64"/>
      <c r="X26" s="23">
        <f t="shared" si="4"/>
        <v>4420146</v>
      </c>
    </row>
    <row r="27" spans="1:24" x14ac:dyDescent="0.25">
      <c r="A27" s="233"/>
      <c r="B27" s="26">
        <v>24</v>
      </c>
      <c r="C27" s="19" t="s">
        <v>72</v>
      </c>
      <c r="D27" s="20" t="s">
        <v>32</v>
      </c>
      <c r="E27" s="22">
        <v>4023250</v>
      </c>
      <c r="F27" s="22">
        <v>30</v>
      </c>
      <c r="G27" s="22">
        <f t="shared" si="10"/>
        <v>4023250.0000000005</v>
      </c>
      <c r="H27" s="22"/>
      <c r="I27" s="22"/>
      <c r="J27" s="22"/>
      <c r="K27" s="22">
        <f t="shared" si="1"/>
        <v>4023250.0000000005</v>
      </c>
      <c r="L27" s="22">
        <f t="shared" si="2"/>
        <v>160930.00000000003</v>
      </c>
      <c r="M27" s="22">
        <f t="shared" si="5"/>
        <v>201162.50000000003</v>
      </c>
      <c r="N27" s="22"/>
      <c r="O27" s="22"/>
      <c r="P27" s="22">
        <v>2545</v>
      </c>
      <c r="Q27" s="22"/>
      <c r="R27" s="22"/>
      <c r="S27" s="22">
        <v>530000</v>
      </c>
      <c r="T27" s="22">
        <f t="shared" si="3"/>
        <v>894637.5</v>
      </c>
      <c r="U27" s="23">
        <f t="shared" si="11"/>
        <v>3128612.5000000005</v>
      </c>
      <c r="V27" s="23"/>
      <c r="W27" s="64"/>
      <c r="X27" s="23">
        <f t="shared" si="4"/>
        <v>3128612.5000000005</v>
      </c>
    </row>
    <row r="28" spans="1:24" ht="24" x14ac:dyDescent="0.25">
      <c r="A28" s="233"/>
      <c r="B28" s="26">
        <v>25</v>
      </c>
      <c r="C28" s="19" t="s">
        <v>76</v>
      </c>
      <c r="D28" s="20" t="s">
        <v>32</v>
      </c>
      <c r="E28" s="22">
        <v>4000000</v>
      </c>
      <c r="F28" s="22">
        <v>30</v>
      </c>
      <c r="G28" s="22">
        <f t="shared" si="10"/>
        <v>4000000.0000000005</v>
      </c>
      <c r="H28" s="22"/>
      <c r="I28" s="22">
        <v>500000</v>
      </c>
      <c r="J28" s="22"/>
      <c r="K28" s="22">
        <f t="shared" si="1"/>
        <v>4500000</v>
      </c>
      <c r="L28" s="22">
        <f t="shared" si="2"/>
        <v>160000.00000000003</v>
      </c>
      <c r="M28" s="22">
        <f t="shared" si="5"/>
        <v>200000.00000000003</v>
      </c>
      <c r="N28" s="22"/>
      <c r="O28" s="22"/>
      <c r="P28" s="22">
        <v>4458</v>
      </c>
      <c r="Q28" s="22"/>
      <c r="R28" s="22"/>
      <c r="S28" s="22">
        <v>551399</v>
      </c>
      <c r="T28" s="22">
        <f t="shared" si="3"/>
        <v>915857</v>
      </c>
      <c r="U28" s="23">
        <f t="shared" si="11"/>
        <v>3584143</v>
      </c>
      <c r="V28" s="23"/>
      <c r="W28" s="64"/>
      <c r="X28" s="23">
        <f t="shared" si="4"/>
        <v>3584143</v>
      </c>
    </row>
    <row r="29" spans="1:24" ht="24" x14ac:dyDescent="0.25">
      <c r="A29" s="233"/>
      <c r="B29" s="26">
        <v>26</v>
      </c>
      <c r="C29" s="19" t="s">
        <v>91</v>
      </c>
      <c r="D29" s="20" t="s">
        <v>32</v>
      </c>
      <c r="E29" s="22">
        <v>4500000</v>
      </c>
      <c r="F29" s="22">
        <v>28</v>
      </c>
      <c r="G29" s="22">
        <f t="shared" si="10"/>
        <v>4200000</v>
      </c>
      <c r="H29" s="22"/>
      <c r="I29" s="22"/>
      <c r="J29" s="22">
        <v>300000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 t="shared" si="11"/>
        <v>4060373</v>
      </c>
      <c r="V29" s="23"/>
      <c r="W29" s="64"/>
      <c r="X29" s="23">
        <f t="shared" si="4"/>
        <v>4060373</v>
      </c>
    </row>
    <row r="30" spans="1:24" x14ac:dyDescent="0.25">
      <c r="A30" s="233"/>
      <c r="B30" s="26">
        <v>27</v>
      </c>
      <c r="C30" s="30" t="s">
        <v>80</v>
      </c>
      <c r="D30" s="26" t="s">
        <v>32</v>
      </c>
      <c r="E30" s="22">
        <v>4500000</v>
      </c>
      <c r="F30" s="22">
        <v>30</v>
      </c>
      <c r="G30" s="22">
        <f t="shared" si="10"/>
        <v>4500000</v>
      </c>
      <c r="H30" s="22"/>
      <c r="I30" s="22"/>
      <c r="J30" s="22"/>
      <c r="K30" s="22">
        <f t="shared" si="1"/>
        <v>4500000</v>
      </c>
      <c r="L30" s="22">
        <f t="shared" si="2"/>
        <v>180000</v>
      </c>
      <c r="M30" s="22">
        <f t="shared" si="5"/>
        <v>225000</v>
      </c>
      <c r="N30" s="22"/>
      <c r="O30" s="22"/>
      <c r="P30" s="22">
        <v>34627</v>
      </c>
      <c r="Q30" s="22"/>
      <c r="R30" s="22"/>
      <c r="S30" s="22"/>
      <c r="T30" s="22">
        <f t="shared" si="3"/>
        <v>439627</v>
      </c>
      <c r="U30" s="23">
        <f>K30-T30</f>
        <v>4060373</v>
      </c>
      <c r="V30" s="23"/>
      <c r="W30" s="64"/>
      <c r="X30" s="23">
        <f t="shared" si="4"/>
        <v>4060373</v>
      </c>
    </row>
    <row r="31" spans="1:24" ht="24" x14ac:dyDescent="0.25">
      <c r="A31" s="233"/>
      <c r="B31" s="26">
        <v>28</v>
      </c>
      <c r="C31" s="19" t="s">
        <v>85</v>
      </c>
      <c r="D31" s="20" t="s">
        <v>32</v>
      </c>
      <c r="E31" s="22">
        <v>5500000</v>
      </c>
      <c r="F31" s="22">
        <v>30</v>
      </c>
      <c r="G31" s="22">
        <f>+E31/30*F31</f>
        <v>5500000</v>
      </c>
      <c r="H31" s="22"/>
      <c r="I31" s="22"/>
      <c r="J31" s="22"/>
      <c r="K31" s="22">
        <f t="shared" ref="K31:K93" si="12">SUM(G31:I31)+J31</f>
        <v>5500000</v>
      </c>
      <c r="L31" s="22">
        <f t="shared" si="2"/>
        <v>220000</v>
      </c>
      <c r="M31" s="22">
        <f t="shared" si="5"/>
        <v>275000</v>
      </c>
      <c r="N31" s="22"/>
      <c r="O31" s="22"/>
      <c r="P31" s="22">
        <v>129146</v>
      </c>
      <c r="Q31" s="22"/>
      <c r="R31" s="22"/>
      <c r="S31" s="22"/>
      <c r="T31" s="22">
        <f t="shared" si="3"/>
        <v>624146</v>
      </c>
      <c r="U31" s="23">
        <f>+K31-T31</f>
        <v>4875854</v>
      </c>
      <c r="V31" s="23"/>
      <c r="W31" s="64"/>
      <c r="X31" s="23">
        <f t="shared" si="4"/>
        <v>4875854</v>
      </c>
    </row>
    <row r="32" spans="1:24" x14ac:dyDescent="0.25">
      <c r="A32" s="233"/>
      <c r="B32" s="26">
        <v>29</v>
      </c>
      <c r="C32" s="30" t="s">
        <v>82</v>
      </c>
      <c r="D32" s="26" t="s">
        <v>32</v>
      </c>
      <c r="E32" s="22">
        <v>6125000</v>
      </c>
      <c r="F32" s="22">
        <v>30</v>
      </c>
      <c r="G32" s="22">
        <f t="shared" si="10"/>
        <v>6125000</v>
      </c>
      <c r="H32" s="22"/>
      <c r="I32" s="22">
        <v>964000</v>
      </c>
      <c r="J32" s="22"/>
      <c r="K32" s="22">
        <f t="shared" si="12"/>
        <v>7089000</v>
      </c>
      <c r="L32" s="22">
        <f t="shared" si="2"/>
        <v>245000</v>
      </c>
      <c r="M32" s="22">
        <f t="shared" si="5"/>
        <v>306250</v>
      </c>
      <c r="N32" s="22"/>
      <c r="O32" s="22"/>
      <c r="P32" s="22">
        <v>204849</v>
      </c>
      <c r="Q32" s="22"/>
      <c r="R32" s="22"/>
      <c r="S32" s="22"/>
      <c r="T32" s="22">
        <f t="shared" si="3"/>
        <v>756099</v>
      </c>
      <c r="U32" s="23">
        <f>K32-T32</f>
        <v>6332901</v>
      </c>
      <c r="V32" s="23"/>
      <c r="W32" s="64"/>
      <c r="X32" s="23">
        <f t="shared" si="4"/>
        <v>6332901</v>
      </c>
    </row>
    <row r="33" spans="1:24" ht="36" customHeight="1" x14ac:dyDescent="0.25">
      <c r="A33" s="233"/>
      <c r="B33" s="26">
        <v>30</v>
      </c>
      <c r="C33" s="28" t="s">
        <v>92</v>
      </c>
      <c r="D33" s="29" t="s">
        <v>32</v>
      </c>
      <c r="E33" s="22">
        <v>5000000</v>
      </c>
      <c r="F33" s="22">
        <v>30</v>
      </c>
      <c r="G33" s="22">
        <f t="shared" si="10"/>
        <v>5000000</v>
      </c>
      <c r="H33" s="22"/>
      <c r="I33" s="22"/>
      <c r="J33" s="22"/>
      <c r="K33" s="22">
        <f t="shared" si="12"/>
        <v>5000000</v>
      </c>
      <c r="L33" s="22">
        <f t="shared" si="2"/>
        <v>200000</v>
      </c>
      <c r="M33" s="22">
        <f t="shared" si="5"/>
        <v>250000</v>
      </c>
      <c r="N33" s="22"/>
      <c r="O33" s="22"/>
      <c r="P33" s="22">
        <v>139833</v>
      </c>
      <c r="Q33" s="22"/>
      <c r="R33" s="22"/>
      <c r="S33" s="22"/>
      <c r="T33" s="22">
        <f t="shared" si="3"/>
        <v>589833</v>
      </c>
      <c r="U33" s="23">
        <f t="shared" ref="U33:U38" si="13">+K33-T33</f>
        <v>4410167</v>
      </c>
      <c r="V33" s="23"/>
      <c r="W33" s="64"/>
      <c r="X33" s="23">
        <f t="shared" si="4"/>
        <v>4410167</v>
      </c>
    </row>
    <row r="34" spans="1:24" ht="36" customHeight="1" x14ac:dyDescent="0.25">
      <c r="A34" s="233"/>
      <c r="B34" s="26">
        <v>31</v>
      </c>
      <c r="C34" s="19" t="s">
        <v>78</v>
      </c>
      <c r="D34" s="20" t="s">
        <v>32</v>
      </c>
      <c r="E34" s="22">
        <v>4000000</v>
      </c>
      <c r="F34" s="22">
        <v>30</v>
      </c>
      <c r="G34" s="22">
        <f t="shared" si="10"/>
        <v>4000000.0000000005</v>
      </c>
      <c r="H34" s="22"/>
      <c r="I34" s="22"/>
      <c r="J34" s="22"/>
      <c r="K34" s="22">
        <f t="shared" si="12"/>
        <v>4000000.0000000005</v>
      </c>
      <c r="L34" s="22">
        <f t="shared" si="2"/>
        <v>160000.00000000003</v>
      </c>
      <c r="M34" s="22">
        <f t="shared" si="5"/>
        <v>200000.00000000003</v>
      </c>
      <c r="N34" s="22"/>
      <c r="O34" s="22">
        <v>144500</v>
      </c>
      <c r="P34" s="22">
        <v>0</v>
      </c>
      <c r="Q34" s="22"/>
      <c r="R34" s="22">
        <v>1500000</v>
      </c>
      <c r="T34" s="22">
        <f>SUM(L34:R34)</f>
        <v>2004500</v>
      </c>
      <c r="U34" s="23">
        <f t="shared" si="13"/>
        <v>1995500.0000000005</v>
      </c>
      <c r="V34" s="23"/>
      <c r="W34" s="64"/>
      <c r="X34" s="23">
        <f t="shared" si="4"/>
        <v>1995500.0000000005</v>
      </c>
    </row>
    <row r="35" spans="1:24" ht="26.25" customHeight="1" x14ac:dyDescent="0.25">
      <c r="A35" s="233"/>
      <c r="B35" s="26">
        <v>32</v>
      </c>
      <c r="C35" s="19" t="s">
        <v>87</v>
      </c>
      <c r="D35" s="20" t="s">
        <v>32</v>
      </c>
      <c r="E35" s="22">
        <v>4500000</v>
      </c>
      <c r="F35" s="22">
        <v>30</v>
      </c>
      <c r="G35" s="22">
        <f t="shared" si="10"/>
        <v>4500000</v>
      </c>
      <c r="H35" s="22"/>
      <c r="I35" s="22"/>
      <c r="J35" s="22"/>
      <c r="K35" s="22">
        <f t="shared" si="12"/>
        <v>4500000</v>
      </c>
      <c r="L35" s="22">
        <f t="shared" si="2"/>
        <v>180000</v>
      </c>
      <c r="M35" s="22">
        <f t="shared" si="5"/>
        <v>225000</v>
      </c>
      <c r="N35" s="22"/>
      <c r="O35" s="22"/>
      <c r="P35" s="22">
        <v>99000</v>
      </c>
      <c r="Q35" s="22"/>
      <c r="R35" s="22"/>
      <c r="S35" s="22"/>
      <c r="T35" s="22">
        <f t="shared" si="3"/>
        <v>504000</v>
      </c>
      <c r="U35" s="23">
        <f t="shared" si="13"/>
        <v>3996000</v>
      </c>
      <c r="V35" s="23"/>
      <c r="W35" s="64"/>
      <c r="X35" s="23">
        <f t="shared" si="4"/>
        <v>3996000</v>
      </c>
    </row>
    <row r="36" spans="1:24" ht="26.25" customHeight="1" x14ac:dyDescent="0.25">
      <c r="A36" s="233"/>
      <c r="B36" s="26">
        <v>33</v>
      </c>
      <c r="C36" s="19" t="s">
        <v>193</v>
      </c>
      <c r="D36" s="20" t="s">
        <v>32</v>
      </c>
      <c r="E36" s="22">
        <v>4250000</v>
      </c>
      <c r="F36" s="22">
        <v>29</v>
      </c>
      <c r="G36" s="22">
        <f t="shared" si="10"/>
        <v>4108333.333333333</v>
      </c>
      <c r="H36" s="22"/>
      <c r="I36" s="22"/>
      <c r="J36" s="22"/>
      <c r="K36" s="22">
        <f t="shared" ref="K36" si="14">SUM(G36:I36)+J36</f>
        <v>4108333.333333333</v>
      </c>
      <c r="L36" s="22">
        <f>+G36*4%</f>
        <v>164333.33333333331</v>
      </c>
      <c r="M36" s="22">
        <f>+G36*5%</f>
        <v>205416.66666666666</v>
      </c>
      <c r="N36" s="22"/>
      <c r="O36" s="22"/>
      <c r="P36" s="22">
        <v>38205</v>
      </c>
      <c r="Q36" s="22"/>
      <c r="R36" s="22"/>
      <c r="S36" s="22"/>
      <c r="T36" s="22">
        <f t="shared" si="3"/>
        <v>407955</v>
      </c>
      <c r="U36" s="23">
        <f t="shared" si="13"/>
        <v>3700378.333333333</v>
      </c>
      <c r="V36" s="23"/>
      <c r="W36" s="64"/>
      <c r="X36" s="23">
        <f t="shared" si="4"/>
        <v>3700378.333333333</v>
      </c>
    </row>
    <row r="37" spans="1:24" ht="60" customHeight="1" x14ac:dyDescent="0.25">
      <c r="A37" s="233"/>
      <c r="B37" s="26">
        <v>34</v>
      </c>
      <c r="C37" s="19" t="s">
        <v>89</v>
      </c>
      <c r="D37" s="20" t="s">
        <v>32</v>
      </c>
      <c r="E37" s="22">
        <v>3000000</v>
      </c>
      <c r="F37" s="22">
        <v>30</v>
      </c>
      <c r="G37" s="22">
        <f t="shared" si="10"/>
        <v>3000000</v>
      </c>
      <c r="H37" s="22"/>
      <c r="I37" s="22"/>
      <c r="J37" s="22"/>
      <c r="K37" s="22">
        <f t="shared" si="12"/>
        <v>3000000</v>
      </c>
      <c r="L37" s="22">
        <f t="shared" si="2"/>
        <v>120000</v>
      </c>
      <c r="M37" s="22">
        <f t="shared" si="5"/>
        <v>150000</v>
      </c>
      <c r="N37" s="22"/>
      <c r="O37" s="22">
        <v>120500</v>
      </c>
      <c r="P37" s="22"/>
      <c r="Q37" s="22"/>
      <c r="R37" s="22"/>
      <c r="S37" s="22"/>
      <c r="T37" s="22">
        <f t="shared" si="3"/>
        <v>390500</v>
      </c>
      <c r="U37" s="23">
        <f t="shared" si="13"/>
        <v>2609500</v>
      </c>
      <c r="V37" s="23"/>
      <c r="W37" s="64"/>
      <c r="X37" s="23">
        <f t="shared" si="4"/>
        <v>2609500</v>
      </c>
    </row>
    <row r="38" spans="1:24" ht="36" customHeight="1" x14ac:dyDescent="0.25">
      <c r="A38" s="233"/>
      <c r="B38" s="26">
        <v>35</v>
      </c>
      <c r="C38" s="19" t="s">
        <v>90</v>
      </c>
      <c r="D38" s="20" t="s">
        <v>32</v>
      </c>
      <c r="E38" s="22">
        <v>4500000</v>
      </c>
      <c r="F38" s="22">
        <v>30</v>
      </c>
      <c r="G38" s="22">
        <f t="shared" si="10"/>
        <v>4500000</v>
      </c>
      <c r="H38" s="22"/>
      <c r="I38" s="22">
        <v>300000</v>
      </c>
      <c r="J38" s="22"/>
      <c r="K38" s="22">
        <f t="shared" si="12"/>
        <v>4800000</v>
      </c>
      <c r="L38" s="22">
        <f t="shared" si="2"/>
        <v>180000</v>
      </c>
      <c r="M38" s="22">
        <f t="shared" si="5"/>
        <v>225000</v>
      </c>
      <c r="N38" s="22"/>
      <c r="O38" s="22">
        <v>240000</v>
      </c>
      <c r="P38" s="22">
        <v>8021</v>
      </c>
      <c r="Q38" s="22"/>
      <c r="R38" s="22"/>
      <c r="S38" s="22"/>
      <c r="T38" s="22">
        <f t="shared" si="3"/>
        <v>653021</v>
      </c>
      <c r="U38" s="23">
        <f t="shared" si="13"/>
        <v>4146979</v>
      </c>
      <c r="V38" s="23"/>
      <c r="W38" s="64"/>
      <c r="X38" s="23">
        <f t="shared" si="4"/>
        <v>4146979</v>
      </c>
    </row>
    <row r="39" spans="1:24" ht="30.75" customHeight="1" x14ac:dyDescent="0.25">
      <c r="A39" s="233"/>
      <c r="B39" s="26">
        <v>36</v>
      </c>
      <c r="C39" s="19" t="s">
        <v>94</v>
      </c>
      <c r="D39" s="20" t="s">
        <v>32</v>
      </c>
      <c r="E39" s="22">
        <v>4815000</v>
      </c>
      <c r="F39" s="22">
        <v>30</v>
      </c>
      <c r="G39" s="22">
        <f t="shared" si="10"/>
        <v>4815000</v>
      </c>
      <c r="H39" s="22"/>
      <c r="I39" s="22">
        <v>350000</v>
      </c>
      <c r="J39" s="22">
        <v>321000</v>
      </c>
      <c r="K39" s="22">
        <f t="shared" si="12"/>
        <v>5486000</v>
      </c>
      <c r="L39" s="22">
        <v>192600</v>
      </c>
      <c r="M39" s="22">
        <v>240750</v>
      </c>
      <c r="N39" s="22"/>
      <c r="O39" s="22"/>
      <c r="P39" s="22">
        <v>89000</v>
      </c>
      <c r="Q39" s="22"/>
      <c r="R39" s="22"/>
      <c r="S39" s="22"/>
      <c r="T39" s="22">
        <f t="shared" si="3"/>
        <v>522350</v>
      </c>
      <c r="U39" s="23">
        <f>K39-T39</f>
        <v>4963650</v>
      </c>
      <c r="V39" s="23"/>
      <c r="W39" s="64"/>
      <c r="X39" s="23">
        <f t="shared" si="4"/>
        <v>4963650</v>
      </c>
    </row>
    <row r="40" spans="1:24" ht="36" customHeight="1" x14ac:dyDescent="0.25">
      <c r="A40" s="233"/>
      <c r="B40" s="26">
        <v>37</v>
      </c>
      <c r="C40" s="19" t="s">
        <v>96</v>
      </c>
      <c r="D40" s="20" t="s">
        <v>32</v>
      </c>
      <c r="E40" s="22">
        <v>6900000</v>
      </c>
      <c r="F40" s="22">
        <v>30</v>
      </c>
      <c r="G40" s="22">
        <f t="shared" si="10"/>
        <v>6900000</v>
      </c>
      <c r="H40" s="22"/>
      <c r="I40" s="22"/>
      <c r="J40" s="22"/>
      <c r="K40" s="22">
        <f t="shared" si="12"/>
        <v>6900000</v>
      </c>
      <c r="L40" s="22">
        <v>276000</v>
      </c>
      <c r="M40" s="22">
        <v>345000</v>
      </c>
      <c r="N40" s="22"/>
      <c r="O40" s="22"/>
      <c r="P40" s="22">
        <v>88069</v>
      </c>
      <c r="Q40" s="22">
        <v>1500000</v>
      </c>
      <c r="R40" s="22"/>
      <c r="S40" s="22"/>
      <c r="T40" s="22">
        <f t="shared" si="3"/>
        <v>2209069</v>
      </c>
      <c r="U40" s="23">
        <f>K40-T40</f>
        <v>4690931</v>
      </c>
      <c r="V40" s="23"/>
      <c r="W40" s="64"/>
      <c r="X40" s="23">
        <f t="shared" si="4"/>
        <v>4690931</v>
      </c>
    </row>
    <row r="41" spans="1:24" ht="36" customHeight="1" x14ac:dyDescent="0.25">
      <c r="A41" s="234"/>
      <c r="B41" s="26">
        <v>38</v>
      </c>
      <c r="C41" s="19" t="s">
        <v>98</v>
      </c>
      <c r="D41" s="20" t="s">
        <v>32</v>
      </c>
      <c r="E41" s="22">
        <v>4000000</v>
      </c>
      <c r="F41" s="22">
        <v>30</v>
      </c>
      <c r="G41" s="22">
        <f t="shared" si="10"/>
        <v>4000000.0000000005</v>
      </c>
      <c r="H41" s="22"/>
      <c r="I41" s="22"/>
      <c r="J41" s="22"/>
      <c r="K41" s="22">
        <f t="shared" si="12"/>
        <v>4000000.0000000005</v>
      </c>
      <c r="L41" s="22">
        <f t="shared" si="2"/>
        <v>160000.00000000003</v>
      </c>
      <c r="M41" s="22">
        <f t="shared" si="5"/>
        <v>200000.00000000003</v>
      </c>
      <c r="N41" s="22"/>
      <c r="O41" s="22">
        <v>108250</v>
      </c>
      <c r="P41" s="22">
        <v>31000</v>
      </c>
      <c r="Q41" s="22"/>
      <c r="R41" s="22"/>
      <c r="S41" s="22"/>
      <c r="T41" s="22">
        <f t="shared" si="3"/>
        <v>499250.00000000006</v>
      </c>
      <c r="U41" s="23">
        <f>K41-T41</f>
        <v>3500750.0000000005</v>
      </c>
      <c r="V41" s="23"/>
      <c r="W41" s="64"/>
      <c r="X41" s="23">
        <f t="shared" si="4"/>
        <v>3500750.0000000005</v>
      </c>
    </row>
    <row r="42" spans="1:24" ht="48" customHeight="1" x14ac:dyDescent="0.25">
      <c r="A42" s="232" t="s">
        <v>99</v>
      </c>
      <c r="B42" s="26">
        <v>1</v>
      </c>
      <c r="C42" s="19" t="s">
        <v>100</v>
      </c>
      <c r="D42" s="20" t="s">
        <v>32</v>
      </c>
      <c r="E42" s="22">
        <v>2000000</v>
      </c>
      <c r="F42" s="22">
        <v>30</v>
      </c>
      <c r="G42" s="22">
        <f t="shared" si="10"/>
        <v>2000000.0000000002</v>
      </c>
      <c r="H42" s="22"/>
      <c r="I42" s="22">
        <v>500000</v>
      </c>
      <c r="J42" s="22"/>
      <c r="K42" s="22">
        <f t="shared" si="12"/>
        <v>2500000</v>
      </c>
      <c r="L42" s="22">
        <f t="shared" si="2"/>
        <v>80000.000000000015</v>
      </c>
      <c r="M42" s="22">
        <f t="shared" ref="M42" si="15">+G42*4%</f>
        <v>80000.000000000015</v>
      </c>
      <c r="N42" s="22"/>
      <c r="O42" s="22"/>
      <c r="P42" s="25">
        <v>0</v>
      </c>
      <c r="Q42" s="22"/>
      <c r="R42" s="22">
        <v>163485</v>
      </c>
      <c r="S42" s="22">
        <v>152804</v>
      </c>
      <c r="T42" s="22">
        <f t="shared" si="3"/>
        <v>476289</v>
      </c>
      <c r="U42" s="23">
        <f>+K42-T42</f>
        <v>2023711</v>
      </c>
      <c r="V42" s="23"/>
      <c r="W42" s="64"/>
      <c r="X42" s="23">
        <f t="shared" si="4"/>
        <v>2023711</v>
      </c>
    </row>
    <row r="43" spans="1:24" ht="25.5" customHeight="1" x14ac:dyDescent="0.25">
      <c r="A43" s="233"/>
      <c r="B43" s="26">
        <v>2</v>
      </c>
      <c r="C43" s="19" t="s">
        <v>103</v>
      </c>
      <c r="D43" s="20" t="s">
        <v>32</v>
      </c>
      <c r="E43" s="22">
        <v>344727</v>
      </c>
      <c r="F43" s="22">
        <v>30</v>
      </c>
      <c r="G43" s="22">
        <f t="shared" si="10"/>
        <v>344727</v>
      </c>
      <c r="H43" s="22"/>
      <c r="I43" s="22"/>
      <c r="J43" s="22"/>
      <c r="K43" s="22">
        <f t="shared" si="12"/>
        <v>344727</v>
      </c>
      <c r="L43" s="22"/>
      <c r="M43" s="22"/>
      <c r="N43" s="22"/>
      <c r="O43" s="22"/>
      <c r="P43" s="25"/>
      <c r="Q43" s="22"/>
      <c r="R43" s="22"/>
      <c r="S43" s="22"/>
      <c r="T43" s="22">
        <f t="shared" si="3"/>
        <v>0</v>
      </c>
      <c r="U43" s="23">
        <f>+K43-T43</f>
        <v>344727</v>
      </c>
      <c r="V43" s="23"/>
      <c r="W43" s="64"/>
      <c r="X43" s="23">
        <f t="shared" si="4"/>
        <v>344727</v>
      </c>
    </row>
    <row r="44" spans="1:24" x14ac:dyDescent="0.25">
      <c r="A44" s="233"/>
      <c r="B44" s="26">
        <v>3</v>
      </c>
      <c r="C44" s="30" t="s">
        <v>180</v>
      </c>
      <c r="D44" s="26" t="s">
        <v>32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ref="K44" si="16">SUM(G44:I44)+J44</f>
        <v>689455</v>
      </c>
      <c r="L44" s="22">
        <v>0</v>
      </c>
      <c r="M44" s="22"/>
      <c r="N44" s="22"/>
      <c r="O44" s="22"/>
      <c r="P44" s="22"/>
      <c r="Q44" s="22"/>
      <c r="R44" s="22"/>
      <c r="S44" s="22"/>
      <c r="T44" s="22">
        <f t="shared" si="3"/>
        <v>0</v>
      </c>
      <c r="U44" s="23">
        <f>K44-T44</f>
        <v>689455</v>
      </c>
      <c r="V44" s="23"/>
      <c r="W44" s="64"/>
      <c r="X44" s="23">
        <f t="shared" si="4"/>
        <v>689455</v>
      </c>
    </row>
    <row r="45" spans="1:24" ht="18" customHeight="1" x14ac:dyDescent="0.25">
      <c r="A45" s="233"/>
      <c r="B45" s="26">
        <v>4</v>
      </c>
      <c r="C45" s="19" t="s">
        <v>102</v>
      </c>
      <c r="D45" s="20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si="12"/>
        <v>689455</v>
      </c>
      <c r="L45" s="22"/>
      <c r="M45" s="22"/>
      <c r="N45" s="22"/>
      <c r="O45" s="22"/>
      <c r="P45" s="25"/>
      <c r="Q45" s="22"/>
      <c r="R45" s="22"/>
      <c r="S45" s="22"/>
      <c r="T45" s="22"/>
      <c r="U45" s="23">
        <f>+K45-T45</f>
        <v>689455</v>
      </c>
      <c r="V45" s="23"/>
      <c r="W45" s="64"/>
      <c r="X45" s="23">
        <f t="shared" si="4"/>
        <v>689455</v>
      </c>
    </row>
    <row r="46" spans="1:24" x14ac:dyDescent="0.25">
      <c r="A46" s="233"/>
      <c r="B46" s="26">
        <v>5</v>
      </c>
      <c r="C46" s="30" t="s">
        <v>181</v>
      </c>
      <c r="D46" s="26" t="s">
        <v>32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ref="K46" si="17">SUM(G46:I46)+J46</f>
        <v>689455</v>
      </c>
      <c r="L46" s="22">
        <v>0</v>
      </c>
      <c r="M46" s="22"/>
      <c r="N46" s="22"/>
      <c r="O46" s="22">
        <v>149500</v>
      </c>
      <c r="P46" s="22"/>
      <c r="Q46" s="22"/>
      <c r="R46" s="22"/>
      <c r="S46" s="22"/>
      <c r="T46" s="22">
        <f t="shared" ref="T46:T93" si="18">SUM(L46:S46)</f>
        <v>149500</v>
      </c>
      <c r="U46" s="23">
        <f>K46-T46</f>
        <v>539955</v>
      </c>
      <c r="V46" s="23"/>
      <c r="W46" s="64"/>
      <c r="X46" s="23">
        <f t="shared" si="4"/>
        <v>539955</v>
      </c>
    </row>
    <row r="47" spans="1:24" ht="36" customHeight="1" x14ac:dyDescent="0.25">
      <c r="A47" s="233"/>
      <c r="B47" s="26">
        <v>6</v>
      </c>
      <c r="C47" s="19" t="s">
        <v>104</v>
      </c>
      <c r="D47" s="20" t="s">
        <v>105</v>
      </c>
      <c r="E47" s="22">
        <v>800000</v>
      </c>
      <c r="F47" s="22">
        <v>30</v>
      </c>
      <c r="G47" s="22">
        <f t="shared" si="10"/>
        <v>800000</v>
      </c>
      <c r="H47" s="22">
        <v>77700</v>
      </c>
      <c r="I47" s="22"/>
      <c r="J47" s="22"/>
      <c r="K47" s="22">
        <f t="shared" si="12"/>
        <v>877700</v>
      </c>
      <c r="L47" s="22">
        <f t="shared" ref="L47:L55" si="19">+G47*4%</f>
        <v>32000</v>
      </c>
      <c r="M47" s="22">
        <f t="shared" ref="M47:M55" si="20">+G47*4%</f>
        <v>32000</v>
      </c>
      <c r="N47" s="22"/>
      <c r="O47" s="22"/>
      <c r="P47" s="25"/>
      <c r="Q47" s="22"/>
      <c r="R47" s="22"/>
      <c r="S47" s="22">
        <v>540383</v>
      </c>
      <c r="T47" s="22">
        <f t="shared" si="18"/>
        <v>604383</v>
      </c>
      <c r="U47" s="23">
        <f t="shared" ref="U47:U53" si="21">+K47-T47</f>
        <v>273317</v>
      </c>
      <c r="V47" s="23"/>
      <c r="W47" s="64"/>
      <c r="X47" s="23">
        <f t="shared" si="4"/>
        <v>273317</v>
      </c>
    </row>
    <row r="48" spans="1:24" ht="21.75" customHeight="1" x14ac:dyDescent="0.25">
      <c r="A48" s="233"/>
      <c r="B48" s="26">
        <v>7</v>
      </c>
      <c r="C48" s="19" t="s">
        <v>106</v>
      </c>
      <c r="D48" s="20" t="s">
        <v>32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12"/>
        <v>1177700</v>
      </c>
      <c r="L48" s="22">
        <f t="shared" si="19"/>
        <v>44000</v>
      </c>
      <c r="M48" s="22">
        <f t="shared" si="20"/>
        <v>44000</v>
      </c>
      <c r="N48" s="22"/>
      <c r="O48" s="22"/>
      <c r="P48" s="22">
        <v>0</v>
      </c>
      <c r="Q48" s="22"/>
      <c r="R48" s="22"/>
      <c r="S48" s="22"/>
      <c r="T48" s="22">
        <f t="shared" si="18"/>
        <v>88000</v>
      </c>
      <c r="U48" s="23">
        <f t="shared" si="21"/>
        <v>1089700</v>
      </c>
      <c r="V48" s="23"/>
      <c r="W48" s="64"/>
      <c r="X48" s="23">
        <f t="shared" si="4"/>
        <v>1089700</v>
      </c>
    </row>
    <row r="49" spans="1:27" ht="48" customHeight="1" x14ac:dyDescent="0.25">
      <c r="A49" s="233"/>
      <c r="B49" s="26">
        <v>8</v>
      </c>
      <c r="C49" s="19" t="s">
        <v>182</v>
      </c>
      <c r="D49" s="20" t="s">
        <v>32</v>
      </c>
      <c r="E49" s="22">
        <v>689454</v>
      </c>
      <c r="F49" s="22">
        <v>30</v>
      </c>
      <c r="G49" s="22">
        <f t="shared" ref="G49:G50" si="22">+E49/30*F49</f>
        <v>689454</v>
      </c>
      <c r="H49" s="22">
        <v>77700</v>
      </c>
      <c r="I49" s="22"/>
      <c r="J49" s="22"/>
      <c r="K49" s="22">
        <f t="shared" ref="K49:K50" si="23">SUM(G49:I49)+J49</f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si="18"/>
        <v>55156.32</v>
      </c>
      <c r="U49" s="23">
        <f t="shared" si="21"/>
        <v>711997.68</v>
      </c>
      <c r="V49" s="23"/>
      <c r="W49" s="64"/>
      <c r="X49" s="23">
        <f t="shared" si="4"/>
        <v>711997.68</v>
      </c>
    </row>
    <row r="50" spans="1:27" ht="48" customHeight="1" x14ac:dyDescent="0.25">
      <c r="A50" s="233"/>
      <c r="B50" s="26">
        <v>9</v>
      </c>
      <c r="C50" s="19" t="s">
        <v>194</v>
      </c>
      <c r="D50" s="20" t="s">
        <v>32</v>
      </c>
      <c r="E50" s="22">
        <v>689454</v>
      </c>
      <c r="F50" s="22">
        <v>29</v>
      </c>
      <c r="G50" s="22">
        <f t="shared" si="22"/>
        <v>666472.19999999995</v>
      </c>
      <c r="H50" s="22">
        <v>75110</v>
      </c>
      <c r="I50" s="22"/>
      <c r="J50" s="22"/>
      <c r="K50" s="22">
        <f t="shared" si="23"/>
        <v>741582.2</v>
      </c>
      <c r="L50" s="22">
        <f t="shared" si="19"/>
        <v>26658.887999999999</v>
      </c>
      <c r="M50" s="22">
        <f t="shared" si="20"/>
        <v>26658.887999999999</v>
      </c>
      <c r="N50" s="22"/>
      <c r="O50" s="22"/>
      <c r="P50" s="25"/>
      <c r="Q50" s="22"/>
      <c r="R50" s="22"/>
      <c r="S50" s="22"/>
      <c r="T50" s="22">
        <f t="shared" ref="T50" si="24">SUM(L50:S50)</f>
        <v>53317.775999999998</v>
      </c>
      <c r="U50" s="23">
        <f t="shared" si="21"/>
        <v>688264.424</v>
      </c>
      <c r="V50" s="23"/>
      <c r="W50" s="64"/>
      <c r="X50" s="23">
        <f t="shared" si="4"/>
        <v>688264.424</v>
      </c>
    </row>
    <row r="51" spans="1:27" ht="17.25" customHeight="1" x14ac:dyDescent="0.25">
      <c r="A51" s="233"/>
      <c r="B51" s="26">
        <v>10</v>
      </c>
      <c r="C51" s="19" t="s">
        <v>195</v>
      </c>
      <c r="D51" s="20" t="s">
        <v>32</v>
      </c>
      <c r="E51" s="22">
        <v>3500000</v>
      </c>
      <c r="F51" s="22">
        <v>15</v>
      </c>
      <c r="G51" s="22">
        <f>(E51/30*F51)</f>
        <v>1750000</v>
      </c>
      <c r="H51" s="22"/>
      <c r="I51" s="22"/>
      <c r="J51" s="22"/>
      <c r="K51" s="22">
        <f t="shared" ref="K51" si="25">SUM(G51:I51)+J51</f>
        <v>1750000</v>
      </c>
      <c r="L51" s="22">
        <f t="shared" si="19"/>
        <v>70000</v>
      </c>
      <c r="M51" s="22">
        <f t="shared" si="20"/>
        <v>70000</v>
      </c>
      <c r="N51" s="22"/>
      <c r="O51" s="22"/>
      <c r="P51" s="22">
        <v>0</v>
      </c>
      <c r="Q51" s="22"/>
      <c r="R51" s="22"/>
      <c r="S51" s="22"/>
      <c r="T51" s="22">
        <f t="shared" ref="T51" si="26">SUM(L51:S51)</f>
        <v>140000</v>
      </c>
      <c r="U51" s="23">
        <f t="shared" si="21"/>
        <v>1610000</v>
      </c>
      <c r="V51" s="23"/>
      <c r="W51" s="64"/>
      <c r="X51" s="23">
        <f t="shared" si="4"/>
        <v>1610000</v>
      </c>
    </row>
    <row r="52" spans="1:27" ht="17.25" customHeight="1" x14ac:dyDescent="0.25">
      <c r="A52" s="233"/>
      <c r="B52" s="26">
        <v>11</v>
      </c>
      <c r="C52" s="19" t="s">
        <v>107</v>
      </c>
      <c r="D52" s="20" t="s">
        <v>32</v>
      </c>
      <c r="E52" s="22">
        <v>1200000</v>
      </c>
      <c r="F52" s="22">
        <v>30</v>
      </c>
      <c r="G52" s="22">
        <f>(E52/30*F52)</f>
        <v>1200000</v>
      </c>
      <c r="H52" s="22">
        <v>77700</v>
      </c>
      <c r="I52" s="22"/>
      <c r="J52" s="22"/>
      <c r="K52" s="22">
        <f t="shared" si="12"/>
        <v>1277700</v>
      </c>
      <c r="L52" s="22">
        <v>48000</v>
      </c>
      <c r="M52" s="22">
        <v>48000</v>
      </c>
      <c r="N52" s="22"/>
      <c r="O52" s="22"/>
      <c r="P52" s="22">
        <v>0</v>
      </c>
      <c r="Q52" s="22"/>
      <c r="R52" s="22"/>
      <c r="S52" s="22"/>
      <c r="T52" s="22">
        <f t="shared" si="18"/>
        <v>96000</v>
      </c>
      <c r="U52" s="23">
        <f t="shared" si="21"/>
        <v>1181700</v>
      </c>
      <c r="V52" s="23"/>
      <c r="W52" s="64"/>
      <c r="X52" s="23">
        <f t="shared" si="4"/>
        <v>1181700</v>
      </c>
    </row>
    <row r="53" spans="1:27" ht="48" customHeight="1" x14ac:dyDescent="0.25">
      <c r="A53" s="233"/>
      <c r="B53" s="26">
        <v>12</v>
      </c>
      <c r="C53" s="19" t="s">
        <v>109</v>
      </c>
      <c r="D53" s="20" t="s">
        <v>32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64"/>
      <c r="X53" s="23">
        <f t="shared" si="4"/>
        <v>905700</v>
      </c>
    </row>
    <row r="54" spans="1:27" x14ac:dyDescent="0.25">
      <c r="A54" s="233"/>
      <c r="B54" s="26">
        <v>13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27">K54-T54</f>
        <v>2300000</v>
      </c>
      <c r="V54" s="23"/>
      <c r="W54" s="64"/>
      <c r="X54" s="23">
        <f t="shared" si="4"/>
        <v>2300000</v>
      </c>
    </row>
    <row r="55" spans="1:27" ht="48" customHeight="1" x14ac:dyDescent="0.25">
      <c r="A55" s="233"/>
      <c r="B55" s="26">
        <v>14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27"/>
        <v>2033772</v>
      </c>
      <c r="V55" s="23"/>
      <c r="W55" s="64"/>
      <c r="X55" s="23">
        <f t="shared" si="4"/>
        <v>2033772</v>
      </c>
    </row>
    <row r="56" spans="1:27" ht="36" customHeight="1" x14ac:dyDescent="0.25">
      <c r="A56" s="233"/>
      <c r="B56" s="26">
        <v>15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28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27"/>
        <v>344727</v>
      </c>
      <c r="V56" s="23"/>
      <c r="W56" s="64"/>
      <c r="X56" s="23">
        <f t="shared" si="4"/>
        <v>344727</v>
      </c>
    </row>
    <row r="57" spans="1:27" ht="17.25" customHeight="1" x14ac:dyDescent="0.25">
      <c r="A57" s="233"/>
      <c r="B57" s="26">
        <v>16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27"/>
        <v>2407981</v>
      </c>
      <c r="V57" s="23"/>
      <c r="W57" s="64"/>
      <c r="X57" s="23">
        <f t="shared" si="4"/>
        <v>2407981</v>
      </c>
    </row>
    <row r="58" spans="1:27" ht="15.75" customHeight="1" x14ac:dyDescent="0.25">
      <c r="A58" s="233"/>
      <c r="B58" s="26">
        <v>17</v>
      </c>
      <c r="C58" s="19" t="s">
        <v>118</v>
      </c>
      <c r="D58" s="20" t="s">
        <v>32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27"/>
        <v>1019076</v>
      </c>
      <c r="V58" s="23"/>
      <c r="W58" s="64"/>
      <c r="X58" s="23">
        <f t="shared" si="4"/>
        <v>1019076</v>
      </c>
      <c r="AA58" s="65">
        <f>1196000+644000</f>
        <v>1840000</v>
      </c>
    </row>
    <row r="59" spans="1:27" x14ac:dyDescent="0.25">
      <c r="A59" s="233"/>
      <c r="B59" s="26">
        <v>18</v>
      </c>
      <c r="C59" s="30" t="s">
        <v>183</v>
      </c>
      <c r="D59" s="26" t="s">
        <v>32</v>
      </c>
      <c r="E59" s="22">
        <v>689455</v>
      </c>
      <c r="F59" s="22">
        <v>30</v>
      </c>
      <c r="G59" s="22">
        <f t="shared" ref="G59:G60" si="29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27"/>
        <v>689455</v>
      </c>
      <c r="V59" s="23"/>
      <c r="W59" s="64"/>
      <c r="X59" s="23">
        <f t="shared" si="4"/>
        <v>689455</v>
      </c>
    </row>
    <row r="60" spans="1:27" x14ac:dyDescent="0.25">
      <c r="A60" s="233"/>
      <c r="B60" s="26">
        <v>19</v>
      </c>
      <c r="C60" s="30" t="s">
        <v>188</v>
      </c>
      <c r="D60" s="26" t="s">
        <v>32</v>
      </c>
      <c r="E60" s="22">
        <v>1500000</v>
      </c>
      <c r="F60" s="22">
        <v>30</v>
      </c>
      <c r="G60" s="22">
        <f t="shared" si="29"/>
        <v>1500000</v>
      </c>
      <c r="H60" s="22"/>
      <c r="I60" s="22"/>
      <c r="J60" s="22"/>
      <c r="K60" s="22">
        <f t="shared" ref="K60" si="30">SUM(G60:I60)+J60</f>
        <v>1500000</v>
      </c>
      <c r="L60" s="22">
        <f>+G60*4%</f>
        <v>60000</v>
      </c>
      <c r="M60" s="22">
        <f>+G60*4%</f>
        <v>60000</v>
      </c>
      <c r="N60" s="22"/>
      <c r="O60" s="22"/>
      <c r="P60" s="22"/>
      <c r="Q60" s="22"/>
      <c r="R60" s="22"/>
      <c r="S60" s="22"/>
      <c r="T60" s="22">
        <f t="shared" ref="T60" si="31">SUM(L60:S60)</f>
        <v>120000</v>
      </c>
      <c r="U60" s="23">
        <f t="shared" si="27"/>
        <v>1380000</v>
      </c>
      <c r="V60" s="23"/>
      <c r="W60" s="64"/>
      <c r="X60" s="23">
        <f t="shared" si="4"/>
        <v>1380000</v>
      </c>
    </row>
    <row r="61" spans="1:27" ht="36" customHeight="1" x14ac:dyDescent="0.25">
      <c r="A61" s="233"/>
      <c r="B61" s="26">
        <v>20</v>
      </c>
      <c r="C61" s="19" t="s">
        <v>196</v>
      </c>
      <c r="D61" s="20" t="s">
        <v>105</v>
      </c>
      <c r="E61" s="22">
        <v>689455</v>
      </c>
      <c r="F61" s="22">
        <v>8</v>
      </c>
      <c r="G61" s="22">
        <f>+E61/30*F61</f>
        <v>183854.66666666666</v>
      </c>
      <c r="H61" s="22">
        <v>20720</v>
      </c>
      <c r="I61" s="22"/>
      <c r="J61" s="22"/>
      <c r="K61" s="22">
        <f t="shared" ref="K61" si="32">SUM(G61:I61)+J61</f>
        <v>204574.66666666666</v>
      </c>
      <c r="L61" s="22">
        <f>+G61*4%</f>
        <v>7354.1866666666665</v>
      </c>
      <c r="M61" s="22">
        <f t="shared" ref="M61" si="33">+G61*4%</f>
        <v>7354.1866666666665</v>
      </c>
      <c r="N61" s="22"/>
      <c r="O61" s="22"/>
      <c r="P61" s="25"/>
      <c r="Q61" s="22"/>
      <c r="R61" s="22"/>
      <c r="S61" s="22"/>
      <c r="T61" s="22">
        <f t="shared" ref="T61" si="34">SUM(L61:S61)</f>
        <v>14708.373333333333</v>
      </c>
      <c r="U61" s="23">
        <f>+K61-T61</f>
        <v>189866.29333333333</v>
      </c>
      <c r="V61" s="23"/>
      <c r="W61" s="64"/>
      <c r="X61" s="23">
        <f t="shared" si="4"/>
        <v>189866.29333333333</v>
      </c>
    </row>
    <row r="62" spans="1:27" x14ac:dyDescent="0.25">
      <c r="A62" s="233"/>
      <c r="B62" s="26">
        <v>21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27"/>
        <v>344727</v>
      </c>
      <c r="V62" s="23"/>
      <c r="W62" s="64"/>
      <c r="X62" s="23">
        <f t="shared" si="4"/>
        <v>344727</v>
      </c>
      <c r="AA62" s="65">
        <f>1840000-1196000</f>
        <v>644000</v>
      </c>
    </row>
    <row r="63" spans="1:27" ht="48" customHeight="1" x14ac:dyDescent="0.25">
      <c r="A63" s="233"/>
      <c r="B63" s="26">
        <v>22</v>
      </c>
      <c r="C63" s="19" t="s">
        <v>121</v>
      </c>
      <c r="D63" s="20" t="s">
        <v>105</v>
      </c>
      <c r="E63" s="22">
        <v>1500000</v>
      </c>
      <c r="F63" s="22">
        <v>30</v>
      </c>
      <c r="G63" s="22">
        <f t="shared" ref="G63" si="35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90" si="36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64"/>
      <c r="X63" s="23">
        <f t="shared" si="4"/>
        <v>1380000</v>
      </c>
    </row>
    <row r="64" spans="1:27" x14ac:dyDescent="0.25">
      <c r="A64" s="233"/>
      <c r="B64" s="26">
        <v>23</v>
      </c>
      <c r="C64" s="30" t="s">
        <v>122</v>
      </c>
      <c r="D64" s="26" t="s">
        <v>32</v>
      </c>
      <c r="E64" s="22">
        <v>1500000</v>
      </c>
      <c r="F64" s="22">
        <v>27</v>
      </c>
      <c r="G64" s="22">
        <f>+E64/30*F64</f>
        <v>1350000</v>
      </c>
      <c r="H64" s="22"/>
      <c r="I64" s="22">
        <v>500000</v>
      </c>
      <c r="J64" s="22">
        <v>150000</v>
      </c>
      <c r="K64" s="22">
        <f t="shared" si="12"/>
        <v>2000000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>
        <f t="shared" si="18"/>
        <v>120000</v>
      </c>
      <c r="U64" s="23">
        <f>K64-T64</f>
        <v>1880000</v>
      </c>
      <c r="V64" s="23"/>
      <c r="W64" s="64"/>
      <c r="X64" s="23">
        <f>U64+V64-W64</f>
        <v>1880000</v>
      </c>
    </row>
    <row r="65" spans="1:25" ht="20.25" customHeight="1" x14ac:dyDescent="0.25">
      <c r="A65" s="233"/>
      <c r="B65" s="26">
        <v>24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37">+E65/30*F65</f>
        <v>3000000</v>
      </c>
      <c r="H65" s="22"/>
      <c r="I65" s="22"/>
      <c r="J65" s="22">
        <v>609375</v>
      </c>
      <c r="K65" s="22">
        <f t="shared" si="12"/>
        <v>3609375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38">+K65-T65</f>
        <v>2536741</v>
      </c>
      <c r="V65" s="23"/>
      <c r="W65" s="64"/>
      <c r="X65" s="23">
        <f t="shared" ref="X65" si="39">U65+V65-W65</f>
        <v>2536741</v>
      </c>
    </row>
    <row r="66" spans="1:25" ht="18" customHeight="1" x14ac:dyDescent="0.25">
      <c r="A66" s="233"/>
      <c r="B66" s="26">
        <v>25</v>
      </c>
      <c r="C66" s="19" t="s">
        <v>124</v>
      </c>
      <c r="D66" s="20" t="s">
        <v>32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38"/>
        <v>1480000</v>
      </c>
      <c r="V66" s="23"/>
      <c r="W66" s="64"/>
      <c r="X66" s="23">
        <f t="shared" si="4"/>
        <v>1480000</v>
      </c>
    </row>
    <row r="67" spans="1:25" ht="36" customHeight="1" x14ac:dyDescent="0.25">
      <c r="A67" s="233"/>
      <c r="B67" s="26">
        <v>26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5" si="40">+E67/30*F67</f>
        <v>3250000</v>
      </c>
      <c r="H67" s="22">
        <f>+G67/2</f>
        <v>1625000</v>
      </c>
      <c r="I67" s="22"/>
      <c r="J67" s="22"/>
      <c r="K67" s="22">
        <f t="shared" si="12"/>
        <v>4875000</v>
      </c>
      <c r="L67" s="22">
        <f t="shared" ref="L67:L90" si="41">+G67*4%</f>
        <v>130000</v>
      </c>
      <c r="M67" s="22">
        <f>+G67*5%</f>
        <v>162500</v>
      </c>
      <c r="N67" s="22"/>
      <c r="O67" s="22">
        <v>162000</v>
      </c>
      <c r="P67" s="22">
        <v>0</v>
      </c>
      <c r="Q67" s="22"/>
      <c r="R67" s="22"/>
      <c r="S67" s="22"/>
      <c r="T67" s="22">
        <f t="shared" si="18"/>
        <v>454500</v>
      </c>
      <c r="U67" s="23">
        <f t="shared" si="38"/>
        <v>4420500</v>
      </c>
      <c r="V67" s="23"/>
      <c r="W67" s="64"/>
      <c r="X67" s="23">
        <f t="shared" si="4"/>
        <v>4420500</v>
      </c>
      <c r="Y67" s="65" t="s">
        <v>130</v>
      </c>
    </row>
    <row r="68" spans="1:25" ht="36" customHeight="1" x14ac:dyDescent="0.25">
      <c r="A68" s="233"/>
      <c r="B68" s="26">
        <v>27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40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38"/>
        <v>1714000</v>
      </c>
      <c r="V68" s="23"/>
      <c r="W68" s="64"/>
      <c r="X68" s="23">
        <f t="shared" ref="X68:X93" si="42">U68+V68-W68</f>
        <v>1714000</v>
      </c>
    </row>
    <row r="69" spans="1:25" ht="48" customHeight="1" x14ac:dyDescent="0.25">
      <c r="A69" s="233"/>
      <c r="B69" s="26">
        <v>28</v>
      </c>
      <c r="C69" s="19" t="s">
        <v>133</v>
      </c>
      <c r="D69" s="20" t="s">
        <v>32</v>
      </c>
      <c r="E69" s="22">
        <v>1800000</v>
      </c>
      <c r="F69" s="22">
        <v>24</v>
      </c>
      <c r="G69" s="22">
        <f t="shared" si="40"/>
        <v>1440000</v>
      </c>
      <c r="H69" s="22"/>
      <c r="I69" s="22"/>
      <c r="J69" s="22">
        <v>360000</v>
      </c>
      <c r="K69" s="22">
        <f t="shared" si="12"/>
        <v>1800000</v>
      </c>
      <c r="L69" s="22">
        <v>72000</v>
      </c>
      <c r="M69" s="22">
        <v>72000</v>
      </c>
      <c r="N69" s="22"/>
      <c r="O69" s="22">
        <v>234000</v>
      </c>
      <c r="P69" s="25">
        <v>0</v>
      </c>
      <c r="Q69" s="22"/>
      <c r="R69" s="22"/>
      <c r="S69" s="22"/>
      <c r="T69" s="22">
        <f t="shared" si="18"/>
        <v>378000</v>
      </c>
      <c r="U69" s="23">
        <f t="shared" si="38"/>
        <v>1422000</v>
      </c>
      <c r="V69" s="23"/>
      <c r="W69" s="64"/>
      <c r="X69" s="23">
        <f t="shared" si="42"/>
        <v>1422000</v>
      </c>
    </row>
    <row r="70" spans="1:25" ht="36" customHeight="1" x14ac:dyDescent="0.25">
      <c r="A70" s="233"/>
      <c r="B70" s="26">
        <v>29</v>
      </c>
      <c r="C70" s="19" t="s">
        <v>135</v>
      </c>
      <c r="D70" s="20" t="s">
        <v>32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/>
      <c r="P70" s="22">
        <v>0</v>
      </c>
      <c r="Q70" s="22"/>
      <c r="R70" s="22"/>
      <c r="S70" s="22">
        <v>257196</v>
      </c>
      <c r="T70" s="22">
        <f t="shared" si="18"/>
        <v>401196</v>
      </c>
      <c r="U70" s="23">
        <f t="shared" si="38"/>
        <v>1398804</v>
      </c>
      <c r="V70" s="23"/>
      <c r="W70" s="64"/>
      <c r="X70" s="23">
        <f t="shared" si="42"/>
        <v>1398804</v>
      </c>
    </row>
    <row r="71" spans="1:25" ht="36" customHeight="1" x14ac:dyDescent="0.25">
      <c r="A71" s="233"/>
      <c r="B71" s="26">
        <v>30</v>
      </c>
      <c r="C71" s="19" t="s">
        <v>189</v>
      </c>
      <c r="D71" s="20" t="s">
        <v>32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>
        <v>257196</v>
      </c>
      <c r="K71" s="22">
        <f t="shared" si="12"/>
        <v>4757196</v>
      </c>
      <c r="L71" s="22">
        <f t="shared" ref="L71" si="43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4">SUM(L71:S71)</f>
        <v>504000</v>
      </c>
      <c r="U71" s="23">
        <f t="shared" si="38"/>
        <v>4253196</v>
      </c>
      <c r="V71" s="23"/>
      <c r="W71" s="64"/>
      <c r="X71" s="23">
        <f t="shared" si="42"/>
        <v>4253196</v>
      </c>
    </row>
    <row r="72" spans="1:25" ht="36" customHeight="1" x14ac:dyDescent="0.25">
      <c r="A72" s="233"/>
      <c r="B72" s="26">
        <v>31</v>
      </c>
      <c r="C72" s="19" t="s">
        <v>137</v>
      </c>
      <c r="D72" s="20" t="s">
        <v>32</v>
      </c>
      <c r="E72" s="22">
        <v>1000000</v>
      </c>
      <c r="F72" s="22">
        <v>30</v>
      </c>
      <c r="G72" s="22">
        <f t="shared" ref="G72" si="45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1"/>
        <v>40000.000000000007</v>
      </c>
      <c r="M72" s="22">
        <f t="shared" si="36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38"/>
        <v>997700</v>
      </c>
      <c r="V72" s="23"/>
      <c r="W72" s="64"/>
      <c r="X72" s="23">
        <f t="shared" si="42"/>
        <v>997700</v>
      </c>
    </row>
    <row r="73" spans="1:25" ht="48" customHeight="1" x14ac:dyDescent="0.25">
      <c r="A73" s="233"/>
      <c r="B73" s="26">
        <v>32</v>
      </c>
      <c r="C73" s="19" t="s">
        <v>138</v>
      </c>
      <c r="D73" s="20" t="s">
        <v>32</v>
      </c>
      <c r="E73" s="22">
        <v>4500000</v>
      </c>
      <c r="F73" s="22">
        <v>30</v>
      </c>
      <c r="G73" s="22">
        <f t="shared" si="40"/>
        <v>4500000</v>
      </c>
      <c r="H73" s="22"/>
      <c r="I73" s="22"/>
      <c r="J73" s="22"/>
      <c r="K73" s="22">
        <f t="shared" si="12"/>
        <v>4500000</v>
      </c>
      <c r="L73" s="22">
        <f t="shared" si="41"/>
        <v>180000</v>
      </c>
      <c r="M73" s="22">
        <f>+G73*5%</f>
        <v>225000</v>
      </c>
      <c r="N73" s="22"/>
      <c r="O73" s="22"/>
      <c r="P73" s="22">
        <v>73073</v>
      </c>
      <c r="Q73" s="22"/>
      <c r="R73" s="22"/>
      <c r="S73" s="22"/>
      <c r="T73" s="22">
        <f t="shared" si="18"/>
        <v>478073</v>
      </c>
      <c r="U73" s="23">
        <f>K73-T73</f>
        <v>4021927</v>
      </c>
      <c r="V73" s="23"/>
      <c r="W73" s="64"/>
      <c r="X73" s="23">
        <f t="shared" si="42"/>
        <v>4021927</v>
      </c>
    </row>
    <row r="74" spans="1:25" ht="48" customHeight="1" x14ac:dyDescent="0.25">
      <c r="A74" s="233"/>
      <c r="B74" s="26">
        <v>33</v>
      </c>
      <c r="C74" s="19" t="s">
        <v>142</v>
      </c>
      <c r="D74" s="20" t="s">
        <v>32</v>
      </c>
      <c r="E74" s="22">
        <v>2500000</v>
      </c>
      <c r="F74" s="22">
        <v>29</v>
      </c>
      <c r="G74" s="22">
        <f t="shared" si="40"/>
        <v>2416666.6666666665</v>
      </c>
      <c r="H74" s="22"/>
      <c r="I74" s="22">
        <v>500000</v>
      </c>
      <c r="J74" s="22">
        <v>83333</v>
      </c>
      <c r="K74" s="22">
        <f t="shared" si="12"/>
        <v>2999999.6666666665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2799999.6666666665</v>
      </c>
      <c r="V74" s="23"/>
      <c r="W74" s="64"/>
      <c r="X74" s="23">
        <f t="shared" si="42"/>
        <v>2799999.6666666665</v>
      </c>
    </row>
    <row r="75" spans="1:25" ht="48" customHeight="1" x14ac:dyDescent="0.25">
      <c r="A75" s="233"/>
      <c r="B75" s="26">
        <v>34</v>
      </c>
      <c r="C75" s="19" t="s">
        <v>140</v>
      </c>
      <c r="D75" s="20" t="s">
        <v>32</v>
      </c>
      <c r="E75" s="22">
        <v>2548000</v>
      </c>
      <c r="F75" s="22">
        <v>30</v>
      </c>
      <c r="G75" s="22">
        <f t="shared" si="40"/>
        <v>2548000</v>
      </c>
      <c r="H75" s="22"/>
      <c r="I75" s="22"/>
      <c r="J75" s="22"/>
      <c r="K75" s="22">
        <f t="shared" si="12"/>
        <v>2548000</v>
      </c>
      <c r="L75" s="22">
        <f t="shared" si="41"/>
        <v>101920</v>
      </c>
      <c r="M75" s="22">
        <f t="shared" si="36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64"/>
      <c r="X75" s="23">
        <f t="shared" si="42"/>
        <v>2344160</v>
      </c>
    </row>
    <row r="76" spans="1:25" x14ac:dyDescent="0.25">
      <c r="A76" s="233"/>
      <c r="B76" s="26">
        <v>35</v>
      </c>
      <c r="C76" s="30" t="s">
        <v>144</v>
      </c>
      <c r="D76" s="26" t="s">
        <v>32</v>
      </c>
      <c r="E76" s="22">
        <v>344727</v>
      </c>
      <c r="F76" s="22">
        <v>29</v>
      </c>
      <c r="G76" s="22">
        <f>+E76/30*F76</f>
        <v>333236.09999999998</v>
      </c>
      <c r="H76" s="22">
        <v>75110</v>
      </c>
      <c r="I76" s="22"/>
      <c r="J76" s="22">
        <f>3590.91*11</f>
        <v>39500.009999999995</v>
      </c>
      <c r="K76" s="22">
        <f t="shared" si="12"/>
        <v>447846.11</v>
      </c>
      <c r="L76" s="22">
        <f t="shared" si="41"/>
        <v>13329.444</v>
      </c>
      <c r="M76" s="22">
        <f t="shared" si="36"/>
        <v>13329.444</v>
      </c>
      <c r="N76" s="22"/>
      <c r="O76" s="22"/>
      <c r="P76" s="22">
        <v>0</v>
      </c>
      <c r="Q76" s="22"/>
      <c r="R76" s="22"/>
      <c r="S76" s="22"/>
      <c r="T76" s="22">
        <f t="shared" si="18"/>
        <v>26658.887999999999</v>
      </c>
      <c r="U76" s="23">
        <f>K76-T76</f>
        <v>421187.22200000001</v>
      </c>
      <c r="V76" s="23"/>
      <c r="W76" s="64"/>
      <c r="X76" s="23">
        <f t="shared" si="42"/>
        <v>421187.22200000001</v>
      </c>
    </row>
    <row r="77" spans="1:25" ht="48" customHeight="1" x14ac:dyDescent="0.25">
      <c r="A77" s="233"/>
      <c r="B77" s="26">
        <v>36</v>
      </c>
      <c r="C77" s="19" t="s">
        <v>146</v>
      </c>
      <c r="D77" s="20" t="s">
        <v>32</v>
      </c>
      <c r="E77" s="22">
        <v>15400000</v>
      </c>
      <c r="F77" s="22">
        <v>30</v>
      </c>
      <c r="G77" s="22">
        <f t="shared" ref="G77:G86" si="46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1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64"/>
      <c r="X77" s="23">
        <f t="shared" si="42"/>
        <v>5848705</v>
      </c>
    </row>
    <row r="78" spans="1:25" ht="36" customHeight="1" x14ac:dyDescent="0.25">
      <c r="A78" s="233"/>
      <c r="B78" s="26">
        <v>37</v>
      </c>
      <c r="C78" s="19" t="s">
        <v>148</v>
      </c>
      <c r="D78" s="20" t="s">
        <v>32</v>
      </c>
      <c r="E78" s="22">
        <v>4500000</v>
      </c>
      <c r="F78" s="22">
        <v>30</v>
      </c>
      <c r="G78" s="22">
        <f t="shared" si="46"/>
        <v>4500000</v>
      </c>
      <c r="H78" s="22"/>
      <c r="I78" s="22"/>
      <c r="J78" s="22"/>
      <c r="K78" s="22">
        <f t="shared" si="12"/>
        <v>4500000</v>
      </c>
      <c r="L78" s="22">
        <f t="shared" si="41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64"/>
      <c r="X78" s="23">
        <f t="shared" si="42"/>
        <v>3117456</v>
      </c>
    </row>
    <row r="79" spans="1:25" ht="48" customHeight="1" x14ac:dyDescent="0.25">
      <c r="A79" s="233"/>
      <c r="B79" s="26">
        <v>38</v>
      </c>
      <c r="C79" s="19" t="s">
        <v>150</v>
      </c>
      <c r="D79" s="20" t="s">
        <v>32</v>
      </c>
      <c r="E79" s="22">
        <v>1000000</v>
      </c>
      <c r="F79" s="22">
        <v>30</v>
      </c>
      <c r="G79" s="22">
        <f t="shared" si="46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1"/>
        <v>40000.000000000007</v>
      </c>
      <c r="M79" s="22">
        <f t="shared" si="36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64"/>
      <c r="X79" s="23">
        <f t="shared" si="42"/>
        <v>997700</v>
      </c>
    </row>
    <row r="80" spans="1:25" x14ac:dyDescent="0.25">
      <c r="A80" s="233"/>
      <c r="B80" s="26">
        <v>39</v>
      </c>
      <c r="C80" s="30" t="s">
        <v>152</v>
      </c>
      <c r="D80" s="26" t="s">
        <v>32</v>
      </c>
      <c r="E80" s="22">
        <v>1500000</v>
      </c>
      <c r="F80" s="22">
        <v>30</v>
      </c>
      <c r="G80" s="22">
        <f t="shared" si="46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64"/>
      <c r="X80" s="23">
        <f t="shared" si="42"/>
        <v>1380000</v>
      </c>
    </row>
    <row r="81" spans="1:24" x14ac:dyDescent="0.25">
      <c r="A81" s="233"/>
      <c r="B81" s="26">
        <v>40</v>
      </c>
      <c r="C81" s="30" t="s">
        <v>184</v>
      </c>
      <c r="D81" s="26" t="s">
        <v>32</v>
      </c>
      <c r="E81" s="22">
        <v>689455</v>
      </c>
      <c r="F81" s="22">
        <v>30</v>
      </c>
      <c r="G81" s="22">
        <f t="shared" si="46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>
        <v>230750</v>
      </c>
      <c r="P81" s="22"/>
      <c r="Q81" s="22"/>
      <c r="R81" s="22"/>
      <c r="S81" s="22"/>
      <c r="T81" s="22">
        <f t="shared" si="18"/>
        <v>230750</v>
      </c>
      <c r="U81" s="23">
        <f>K81-T81</f>
        <v>458705</v>
      </c>
      <c r="V81" s="23"/>
      <c r="W81" s="64"/>
      <c r="X81" s="23">
        <f t="shared" si="42"/>
        <v>458705</v>
      </c>
    </row>
    <row r="82" spans="1:24" ht="48" customHeight="1" x14ac:dyDescent="0.25">
      <c r="A82" s="233"/>
      <c r="B82" s="26">
        <v>41</v>
      </c>
      <c r="C82" s="19" t="s">
        <v>155</v>
      </c>
      <c r="D82" s="20" t="s">
        <v>32</v>
      </c>
      <c r="E82" s="22">
        <v>1300000</v>
      </c>
      <c r="F82" s="22">
        <v>30</v>
      </c>
      <c r="G82" s="22">
        <f t="shared" si="46"/>
        <v>1300000</v>
      </c>
      <c r="H82" s="22">
        <v>77700</v>
      </c>
      <c r="I82" s="22"/>
      <c r="J82" s="22"/>
      <c r="K82" s="22">
        <f t="shared" si="12"/>
        <v>1377700</v>
      </c>
      <c r="L82" s="22">
        <f t="shared" si="41"/>
        <v>52000</v>
      </c>
      <c r="M82" s="22">
        <f t="shared" si="36"/>
        <v>52000</v>
      </c>
      <c r="N82" s="22"/>
      <c r="O82" s="22"/>
      <c r="P82" s="22">
        <v>0</v>
      </c>
      <c r="Q82" s="22"/>
      <c r="R82" s="22"/>
      <c r="S82" s="22"/>
      <c r="T82" s="22">
        <f t="shared" si="18"/>
        <v>104000</v>
      </c>
      <c r="U82" s="23">
        <f>+K82-T82</f>
        <v>1273700</v>
      </c>
      <c r="V82" s="23"/>
      <c r="W82" s="64"/>
      <c r="X82" s="23">
        <f t="shared" si="42"/>
        <v>1273700</v>
      </c>
    </row>
    <row r="83" spans="1:24" x14ac:dyDescent="0.25">
      <c r="A83" s="233"/>
      <c r="B83" s="26">
        <v>42</v>
      </c>
      <c r="C83" s="30" t="s">
        <v>197</v>
      </c>
      <c r="D83" s="26" t="s">
        <v>32</v>
      </c>
      <c r="E83" s="22">
        <v>689455</v>
      </c>
      <c r="F83" s="22">
        <v>30</v>
      </c>
      <c r="G83" s="22">
        <f t="shared" si="46"/>
        <v>689455</v>
      </c>
      <c r="H83" s="22"/>
      <c r="I83" s="22"/>
      <c r="J83" s="22"/>
      <c r="K83" s="22">
        <f t="shared" ref="K83" si="47">SUM(G83:I83)+J83</f>
        <v>689455</v>
      </c>
      <c r="L83" s="22">
        <v>0</v>
      </c>
      <c r="M83" s="22"/>
      <c r="N83" s="22"/>
      <c r="O83" s="22"/>
      <c r="P83" s="22"/>
      <c r="Q83" s="22"/>
      <c r="R83" s="22"/>
      <c r="S83" s="22"/>
      <c r="T83" s="22">
        <f t="shared" ref="T83" si="48">SUM(L83:S83)</f>
        <v>0</v>
      </c>
      <c r="U83" s="23">
        <f>K83-T83</f>
        <v>689455</v>
      </c>
      <c r="V83" s="23"/>
      <c r="W83" s="64"/>
      <c r="X83" s="23">
        <f t="shared" si="42"/>
        <v>689455</v>
      </c>
    </row>
    <row r="84" spans="1:24" ht="48" customHeight="1" x14ac:dyDescent="0.25">
      <c r="A84" s="233"/>
      <c r="B84" s="26">
        <v>43</v>
      </c>
      <c r="C84" s="19" t="s">
        <v>175</v>
      </c>
      <c r="D84" s="20" t="s">
        <v>32</v>
      </c>
      <c r="E84" s="22">
        <v>2000000</v>
      </c>
      <c r="F84" s="22">
        <v>30</v>
      </c>
      <c r="G84" s="22">
        <f t="shared" si="46"/>
        <v>2000000.0000000002</v>
      </c>
      <c r="H84" s="22"/>
      <c r="I84" s="22"/>
      <c r="J84" s="22"/>
      <c r="K84" s="22">
        <f t="shared" si="12"/>
        <v>2000000.0000000002</v>
      </c>
      <c r="L84" s="22">
        <f t="shared" si="41"/>
        <v>80000.000000000015</v>
      </c>
      <c r="M84" s="22">
        <f t="shared" si="36"/>
        <v>80000.000000000015</v>
      </c>
      <c r="N84" s="22"/>
      <c r="O84" s="22"/>
      <c r="P84" s="22"/>
      <c r="Q84" s="22"/>
      <c r="R84" s="22"/>
      <c r="S84" s="22"/>
      <c r="T84" s="22">
        <f t="shared" si="18"/>
        <v>160000.00000000003</v>
      </c>
      <c r="U84" s="23">
        <f>+K84-T84</f>
        <v>1840000.0000000002</v>
      </c>
      <c r="V84" s="23"/>
      <c r="W84" s="64"/>
      <c r="X84" s="23">
        <f t="shared" si="42"/>
        <v>1840000.0000000002</v>
      </c>
    </row>
    <row r="85" spans="1:24" ht="48" customHeight="1" x14ac:dyDescent="0.25">
      <c r="A85" s="233"/>
      <c r="B85" s="26">
        <v>44</v>
      </c>
      <c r="C85" s="19" t="s">
        <v>88</v>
      </c>
      <c r="D85" s="20" t="s">
        <v>32</v>
      </c>
      <c r="E85" s="22">
        <v>3700000</v>
      </c>
      <c r="F85" s="22">
        <v>30</v>
      </c>
      <c r="G85" s="22">
        <f t="shared" si="46"/>
        <v>3700000</v>
      </c>
      <c r="H85" s="22"/>
      <c r="I85" s="22"/>
      <c r="J85" s="22"/>
      <c r="K85" s="22">
        <f t="shared" ref="K85" si="49">SUM(G85:I85)+J85</f>
        <v>3700000</v>
      </c>
      <c r="L85" s="22">
        <f t="shared" si="41"/>
        <v>148000</v>
      </c>
      <c r="M85" s="22">
        <f>+G85*5%</f>
        <v>185000</v>
      </c>
      <c r="N85" s="22"/>
      <c r="O85" s="22"/>
      <c r="P85" s="22"/>
      <c r="Q85" s="22"/>
      <c r="R85" s="22"/>
      <c r="S85" s="22"/>
      <c r="T85" s="22">
        <f t="shared" ref="T85" si="50">SUM(L85:S85)</f>
        <v>333000</v>
      </c>
      <c r="U85" s="23">
        <f>+K85-T85</f>
        <v>3367000</v>
      </c>
      <c r="V85" s="23"/>
      <c r="W85" s="64"/>
      <c r="X85" s="23">
        <f t="shared" si="42"/>
        <v>3367000</v>
      </c>
    </row>
    <row r="86" spans="1:24" ht="48" customHeight="1" x14ac:dyDescent="0.25">
      <c r="A86" s="233"/>
      <c r="B86" s="26">
        <v>45</v>
      </c>
      <c r="C86" s="19" t="s">
        <v>154</v>
      </c>
      <c r="D86" s="20" t="s">
        <v>105</v>
      </c>
      <c r="E86" s="22">
        <v>1400000</v>
      </c>
      <c r="F86" s="22">
        <v>30</v>
      </c>
      <c r="G86" s="22">
        <f t="shared" si="46"/>
        <v>1400000</v>
      </c>
      <c r="H86" s="22"/>
      <c r="I86" s="22"/>
      <c r="J86" s="22"/>
      <c r="K86" s="22">
        <f t="shared" si="12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18"/>
        <v>112000</v>
      </c>
      <c r="U86" s="23">
        <f>+K86-T86</f>
        <v>1288000</v>
      </c>
      <c r="V86" s="23"/>
      <c r="W86" s="64"/>
      <c r="X86" s="23">
        <f t="shared" si="42"/>
        <v>1288000</v>
      </c>
    </row>
    <row r="87" spans="1:24" x14ac:dyDescent="0.25">
      <c r="A87" s="233"/>
      <c r="B87" s="26">
        <v>46</v>
      </c>
      <c r="C87" s="30" t="s">
        <v>159</v>
      </c>
      <c r="D87" s="26" t="s">
        <v>32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2"/>
        <v>1377700</v>
      </c>
      <c r="L87" s="22">
        <f t="shared" si="41"/>
        <v>52000</v>
      </c>
      <c r="M87" s="22">
        <f t="shared" si="36"/>
        <v>52000</v>
      </c>
      <c r="N87" s="22"/>
      <c r="O87" s="22">
        <v>57000</v>
      </c>
      <c r="P87" s="22">
        <v>0</v>
      </c>
      <c r="Q87" s="22"/>
      <c r="R87" s="22"/>
      <c r="S87" s="22">
        <v>249127</v>
      </c>
      <c r="T87" s="22">
        <f t="shared" si="18"/>
        <v>410127</v>
      </c>
      <c r="U87" s="23">
        <f>K87-T87</f>
        <v>967573</v>
      </c>
      <c r="V87" s="23"/>
      <c r="W87" s="64"/>
      <c r="X87" s="23">
        <f t="shared" si="42"/>
        <v>967573</v>
      </c>
    </row>
    <row r="88" spans="1:24" ht="36" customHeight="1" x14ac:dyDescent="0.25">
      <c r="A88" s="233"/>
      <c r="B88" s="26">
        <v>47</v>
      </c>
      <c r="C88" s="19" t="s">
        <v>161</v>
      </c>
      <c r="D88" s="20" t="s">
        <v>32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2"/>
        <v>767155</v>
      </c>
      <c r="L88" s="22">
        <f t="shared" si="41"/>
        <v>27578.2</v>
      </c>
      <c r="M88" s="22">
        <f t="shared" si="36"/>
        <v>27578.2</v>
      </c>
      <c r="N88" s="22"/>
      <c r="O88" s="22"/>
      <c r="P88" s="22">
        <v>0</v>
      </c>
      <c r="Q88" s="22"/>
      <c r="R88" s="22"/>
      <c r="S88" s="22"/>
      <c r="T88" s="22">
        <f t="shared" si="18"/>
        <v>55156.4</v>
      </c>
      <c r="U88" s="23">
        <f>+K88-T88</f>
        <v>711998.6</v>
      </c>
      <c r="V88" s="23"/>
      <c r="W88" s="64"/>
      <c r="X88" s="23">
        <f t="shared" si="42"/>
        <v>711998.6</v>
      </c>
    </row>
    <row r="89" spans="1:24" ht="48" customHeight="1" x14ac:dyDescent="0.25">
      <c r="A89" s="234"/>
      <c r="B89" s="26">
        <v>48</v>
      </c>
      <c r="C89" s="28" t="s">
        <v>163</v>
      </c>
      <c r="D89" s="20" t="s">
        <v>32</v>
      </c>
      <c r="E89" s="22">
        <v>1200000</v>
      </c>
      <c r="F89" s="22">
        <v>30</v>
      </c>
      <c r="G89" s="22">
        <f>+E89/30*F89</f>
        <v>1200000</v>
      </c>
      <c r="H89" s="22">
        <v>77700</v>
      </c>
      <c r="I89" s="22"/>
      <c r="J89" s="22"/>
      <c r="K89" s="22">
        <f t="shared" si="12"/>
        <v>1277700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18"/>
        <v>96000</v>
      </c>
      <c r="U89" s="23">
        <f>+K89-T89</f>
        <v>1181700</v>
      </c>
      <c r="V89" s="23"/>
      <c r="W89" s="64"/>
      <c r="X89" s="23">
        <f t="shared" si="42"/>
        <v>1181700</v>
      </c>
    </row>
    <row r="90" spans="1:24" ht="18.75" customHeight="1" x14ac:dyDescent="0.25">
      <c r="A90" s="72"/>
      <c r="B90" s="26">
        <v>49</v>
      </c>
      <c r="C90" s="19" t="s">
        <v>165</v>
      </c>
      <c r="D90" s="20" t="s">
        <v>32</v>
      </c>
      <c r="E90" s="22">
        <v>1300000</v>
      </c>
      <c r="F90" s="22">
        <v>30</v>
      </c>
      <c r="G90" s="22">
        <f t="shared" ref="G90:G93" si="51">+E90/30*F90</f>
        <v>1300000</v>
      </c>
      <c r="H90" s="22">
        <v>77700</v>
      </c>
      <c r="I90" s="22"/>
      <c r="J90" s="22">
        <v>473958</v>
      </c>
      <c r="K90" s="22">
        <f t="shared" si="12"/>
        <v>1851658</v>
      </c>
      <c r="L90" s="22">
        <f t="shared" si="41"/>
        <v>52000</v>
      </c>
      <c r="M90" s="22">
        <f t="shared" si="36"/>
        <v>52000</v>
      </c>
      <c r="N90" s="22"/>
      <c r="O90" s="22"/>
      <c r="P90" s="22"/>
      <c r="Q90" s="22"/>
      <c r="R90" s="22"/>
      <c r="S90" s="22"/>
      <c r="T90" s="22">
        <f t="shared" si="18"/>
        <v>104000</v>
      </c>
      <c r="U90" s="23">
        <f>+K90-T90</f>
        <v>1747658</v>
      </c>
      <c r="V90" s="23"/>
      <c r="W90" s="64"/>
      <c r="X90" s="23">
        <f t="shared" si="42"/>
        <v>1747658</v>
      </c>
    </row>
    <row r="91" spans="1:24" ht="48" customHeight="1" x14ac:dyDescent="0.25">
      <c r="A91" s="72"/>
      <c r="B91" s="26">
        <v>50</v>
      </c>
      <c r="C91" s="28" t="s">
        <v>168</v>
      </c>
      <c r="D91" s="20" t="s">
        <v>32</v>
      </c>
      <c r="E91" s="22">
        <v>689455</v>
      </c>
      <c r="F91" s="22">
        <v>30</v>
      </c>
      <c r="G91" s="22">
        <f t="shared" si="51"/>
        <v>689455</v>
      </c>
      <c r="H91" s="22"/>
      <c r="I91" s="22"/>
      <c r="J91" s="22"/>
      <c r="K91" s="22">
        <f t="shared" si="12"/>
        <v>689455</v>
      </c>
      <c r="L91" s="22"/>
      <c r="M91" s="22"/>
      <c r="N91" s="22"/>
      <c r="O91" s="22"/>
      <c r="P91" s="22">
        <v>0</v>
      </c>
      <c r="Q91" s="22"/>
      <c r="R91" s="22"/>
      <c r="S91" s="22"/>
      <c r="T91" s="22">
        <f t="shared" si="18"/>
        <v>0</v>
      </c>
      <c r="U91" s="23">
        <f>K91-T91</f>
        <v>689455</v>
      </c>
      <c r="V91" s="23"/>
      <c r="W91" s="64"/>
      <c r="X91" s="23">
        <f t="shared" si="42"/>
        <v>689455</v>
      </c>
    </row>
    <row r="92" spans="1:24" ht="48" customHeight="1" x14ac:dyDescent="0.25">
      <c r="A92" s="72"/>
      <c r="B92" s="26">
        <v>51</v>
      </c>
      <c r="C92" s="28" t="s">
        <v>176</v>
      </c>
      <c r="D92" s="20" t="s">
        <v>32</v>
      </c>
      <c r="E92" s="22">
        <v>4000000</v>
      </c>
      <c r="F92" s="22">
        <v>30</v>
      </c>
      <c r="G92" s="22">
        <f t="shared" si="51"/>
        <v>4000000.0000000005</v>
      </c>
      <c r="H92" s="22"/>
      <c r="I92" s="22"/>
      <c r="J92" s="22"/>
      <c r="K92" s="22">
        <f t="shared" ref="K92" si="52">SUM(G92:I92)+J92</f>
        <v>4000000.0000000005</v>
      </c>
      <c r="L92" s="22">
        <f t="shared" ref="L92" si="53">+G92*4%</f>
        <v>160000.00000000003</v>
      </c>
      <c r="M92" s="22">
        <f>+G92*5%</f>
        <v>200000.00000000003</v>
      </c>
      <c r="N92" s="22"/>
      <c r="O92" s="22"/>
      <c r="P92" s="22">
        <v>31064</v>
      </c>
      <c r="Q92" s="22"/>
      <c r="R92" s="22"/>
      <c r="S92" s="22"/>
      <c r="T92" s="22">
        <f t="shared" si="18"/>
        <v>391064.00000000006</v>
      </c>
      <c r="U92" s="23">
        <f>+K92-T92</f>
        <v>3608936.0000000005</v>
      </c>
      <c r="V92" s="23"/>
      <c r="W92" s="64"/>
      <c r="X92" s="23">
        <f t="shared" si="42"/>
        <v>3608936.0000000005</v>
      </c>
    </row>
    <row r="93" spans="1:24" ht="24.75" customHeight="1" x14ac:dyDescent="0.25">
      <c r="A93" s="72"/>
      <c r="B93" s="26">
        <v>52</v>
      </c>
      <c r="C93" s="28" t="s">
        <v>166</v>
      </c>
      <c r="D93" s="20" t="s">
        <v>32</v>
      </c>
      <c r="E93" s="22">
        <v>2500000</v>
      </c>
      <c r="F93" s="22">
        <v>30</v>
      </c>
      <c r="G93" s="22">
        <f t="shared" si="51"/>
        <v>2500000</v>
      </c>
      <c r="H93" s="22"/>
      <c r="I93" s="22"/>
      <c r="J93" s="22"/>
      <c r="K93" s="22">
        <f t="shared" si="12"/>
        <v>2500000</v>
      </c>
      <c r="L93" s="22">
        <v>100000</v>
      </c>
      <c r="M93" s="22">
        <v>100000</v>
      </c>
      <c r="N93" s="22"/>
      <c r="O93" s="22">
        <v>115000</v>
      </c>
      <c r="P93" s="22">
        <v>0</v>
      </c>
      <c r="Q93" s="22"/>
      <c r="R93" s="22"/>
      <c r="S93" s="22"/>
      <c r="T93" s="22">
        <f t="shared" si="18"/>
        <v>315000</v>
      </c>
      <c r="U93" s="23">
        <f>K93-T93</f>
        <v>2185000</v>
      </c>
      <c r="V93" s="23"/>
      <c r="W93" s="64"/>
      <c r="X93" s="23">
        <f t="shared" si="42"/>
        <v>2185000</v>
      </c>
    </row>
    <row r="94" spans="1:24" x14ac:dyDescent="0.25">
      <c r="A94" s="26"/>
      <c r="B94" s="26"/>
      <c r="C94" s="19" t="s">
        <v>169</v>
      </c>
      <c r="D94" s="26"/>
      <c r="E94" s="22">
        <f>SUM(E4:E93)</f>
        <v>277065036</v>
      </c>
      <c r="F94" s="22" t="s">
        <v>1</v>
      </c>
      <c r="G94" s="22">
        <f>SUM(G4:G93)</f>
        <v>268556647.29999995</v>
      </c>
      <c r="H94" s="22">
        <f>SUM(H5:H89)</f>
        <v>2818340</v>
      </c>
      <c r="I94" s="22">
        <f>SUM(I5:I89)</f>
        <v>11618987</v>
      </c>
      <c r="J94" s="22">
        <f>SUM(J4:J93)</f>
        <v>3427696.01</v>
      </c>
      <c r="K94" s="22">
        <f>SUM(K5:K89)</f>
        <v>272958257.31</v>
      </c>
      <c r="L94" s="22">
        <f>SUM(L5:L89)</f>
        <v>10097583.878666665</v>
      </c>
      <c r="M94" s="22">
        <f>SUM(M5:M89)</f>
        <v>12331375.128666667</v>
      </c>
      <c r="N94" s="22">
        <f>SUM(N5:N89)</f>
        <v>102400</v>
      </c>
      <c r="O94" s="22">
        <f>SUM(O4:O93)</f>
        <v>2149000</v>
      </c>
      <c r="P94" s="22">
        <f>SUM(P4:P93)</f>
        <v>3869240</v>
      </c>
      <c r="Q94" s="22">
        <f>SUM(Q5:Q89)</f>
        <v>7700000</v>
      </c>
      <c r="R94" s="22">
        <f>SUM(R5:R89)</f>
        <v>2346459</v>
      </c>
      <c r="S94" s="22">
        <f>SUM(S5:S89)</f>
        <v>10011280</v>
      </c>
      <c r="T94" s="22">
        <f>SUM(T5:T89)</f>
        <v>48362522.007333331</v>
      </c>
      <c r="U94" s="23">
        <f>SUM(U4:U93)</f>
        <v>236823032.30266663</v>
      </c>
      <c r="V94" s="23">
        <f>SUM(V5:V89)</f>
        <v>0</v>
      </c>
      <c r="W94" s="64">
        <f>SUM(W5:W89)</f>
        <v>0</v>
      </c>
      <c r="X94" s="23">
        <f>SUM(X4:X93)</f>
        <v>236823032.30266663</v>
      </c>
    </row>
    <row r="95" spans="1:24" x14ac:dyDescent="0.25">
      <c r="E95" s="76"/>
      <c r="F95" s="76"/>
      <c r="G95" s="76"/>
      <c r="U95" s="77"/>
      <c r="V95" s="77"/>
      <c r="X95" s="77"/>
    </row>
    <row r="96" spans="1:24" x14ac:dyDescent="0.25"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9"/>
      <c r="V96" s="75"/>
      <c r="W96" s="80"/>
      <c r="X96" s="79"/>
    </row>
    <row r="97" spans="2:28" x14ac:dyDescent="0.25"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5"/>
      <c r="V97" s="75"/>
      <c r="W97" s="80"/>
      <c r="X97" s="79"/>
    </row>
    <row r="98" spans="2:28" x14ac:dyDescent="0.25">
      <c r="C98" s="81"/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9"/>
    </row>
    <row r="99" spans="2:28" x14ac:dyDescent="0.25"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5"/>
      <c r="V99" s="75"/>
      <c r="W99" s="80"/>
      <c r="X99" s="75"/>
      <c r="Y99" s="75"/>
      <c r="Z99" s="75"/>
      <c r="AA99" s="75"/>
      <c r="AB99" s="75"/>
    </row>
    <row r="100" spans="2:28" x14ac:dyDescent="0.25">
      <c r="B100" s="75"/>
      <c r="C100" s="81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76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75"/>
      <c r="Z100" s="75"/>
      <c r="AA100" s="75"/>
      <c r="AB100" s="75"/>
    </row>
    <row r="101" spans="2:28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5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2:28" x14ac:dyDescent="0.25">
      <c r="B104" s="75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4"/>
      <c r="W104" s="85"/>
      <c r="X104" s="84"/>
      <c r="Y104" s="75"/>
      <c r="Z104" s="75"/>
      <c r="AA104" s="75"/>
      <c r="AB104" s="75"/>
    </row>
    <row r="105" spans="2:28" x14ac:dyDescent="0.25">
      <c r="B105" s="86"/>
      <c r="C105" s="81"/>
      <c r="D105" s="84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4"/>
      <c r="V105" s="84"/>
      <c r="W105" s="85"/>
      <c r="X105" s="84"/>
      <c r="Y105" s="75"/>
      <c r="Z105" s="75"/>
      <c r="AA105" s="75"/>
      <c r="AB105" s="75"/>
    </row>
    <row r="106" spans="2:28" x14ac:dyDescent="0.25">
      <c r="B106" s="75"/>
      <c r="C106" s="81"/>
      <c r="D106" s="75"/>
      <c r="E106" s="76"/>
      <c r="F106" s="76"/>
      <c r="G106" s="88"/>
      <c r="H106" s="76"/>
      <c r="I106" s="76"/>
      <c r="J106" s="76"/>
      <c r="K106" s="76"/>
      <c r="L106" s="76"/>
      <c r="M106" s="76"/>
      <c r="N106" s="89"/>
      <c r="O106" s="89"/>
      <c r="P106" s="89"/>
      <c r="Q106" s="89"/>
      <c r="R106" s="89"/>
      <c r="S106" s="76"/>
      <c r="T106" s="76"/>
      <c r="U106" s="75"/>
      <c r="V106" s="75"/>
      <c r="W106" s="80"/>
      <c r="X106" s="75"/>
      <c r="Y106" s="75"/>
      <c r="Z106" s="75"/>
      <c r="AA106" s="75"/>
      <c r="AB106" s="75"/>
    </row>
    <row r="107" spans="2:28" x14ac:dyDescent="0.25">
      <c r="B107" s="75"/>
      <c r="C107" s="90"/>
      <c r="D107" s="84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4"/>
      <c r="V107" s="84"/>
      <c r="W107" s="85"/>
      <c r="X107" s="84"/>
      <c r="Y107" s="75"/>
      <c r="Z107" s="75"/>
      <c r="AA107" s="75"/>
      <c r="AB107" s="75"/>
    </row>
    <row r="108" spans="2:28" x14ac:dyDescent="0.25">
      <c r="B108" s="84"/>
      <c r="C108" s="90"/>
      <c r="D108" s="84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4"/>
      <c r="V108" s="84"/>
      <c r="W108" s="85"/>
      <c r="X108" s="84"/>
      <c r="Y108" s="75"/>
      <c r="Z108" s="75"/>
      <c r="AA108" s="75"/>
      <c r="AB108" s="75"/>
    </row>
    <row r="109" spans="2:28" x14ac:dyDescent="0.25">
      <c r="B109" s="75"/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9"/>
      <c r="V109" s="79"/>
      <c r="W109" s="80"/>
      <c r="X109" s="79"/>
      <c r="Y109" s="75"/>
      <c r="Z109" s="75"/>
      <c r="AA109" s="75"/>
      <c r="AB109" s="75"/>
    </row>
    <row r="110" spans="2:28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3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3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3:28" x14ac:dyDescent="0.25">
      <c r="C115" s="81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3:28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3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3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3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3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3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3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3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3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3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3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3:28" x14ac:dyDescent="0.25">
      <c r="C127" s="81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5"/>
      <c r="V127" s="75"/>
      <c r="W127" s="80"/>
      <c r="X127" s="75"/>
      <c r="Y127" s="75"/>
      <c r="Z127" s="75"/>
      <c r="AA127" s="75"/>
      <c r="AB127" s="75"/>
    </row>
    <row r="128" spans="3:28" x14ac:dyDescent="0.25">
      <c r="C128" s="81"/>
      <c r="D128" s="75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75"/>
      <c r="S128" s="76"/>
      <c r="T128" s="76"/>
      <c r="U128" s="75"/>
      <c r="V128" s="75"/>
      <c r="W128" s="80"/>
      <c r="X128" s="75"/>
      <c r="Y128" s="75"/>
      <c r="Z128" s="75"/>
      <c r="AA128" s="75"/>
      <c r="AB128" s="75"/>
    </row>
    <row r="129" spans="2:28" x14ac:dyDescent="0.25">
      <c r="B129" s="75"/>
      <c r="C129" s="8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231"/>
      <c r="T129" s="231"/>
      <c r="U129" s="231"/>
      <c r="V129" s="231"/>
      <c r="W129" s="231"/>
      <c r="X129" s="231"/>
      <c r="Y129" s="75"/>
      <c r="Z129" s="75"/>
      <c r="AA129" s="75"/>
      <c r="AB129" s="75"/>
    </row>
    <row r="130" spans="2:28" x14ac:dyDescent="0.25">
      <c r="B130" s="75"/>
      <c r="C130" s="81"/>
      <c r="D130" s="75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4"/>
      <c r="V130" s="84"/>
      <c r="W130" s="85"/>
      <c r="X130" s="84"/>
      <c r="Y130" s="75"/>
      <c r="Z130" s="75"/>
      <c r="AA130" s="75"/>
      <c r="AB130" s="75"/>
    </row>
    <row r="131" spans="2:28" x14ac:dyDescent="0.25">
      <c r="B131" s="75"/>
      <c r="C131" s="90"/>
      <c r="D131" s="84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</row>
    <row r="132" spans="2:28" x14ac:dyDescent="0.25">
      <c r="B132" s="91"/>
      <c r="C132" s="90"/>
      <c r="D132" s="8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4"/>
      <c r="V132" s="84"/>
      <c r="W132" s="85"/>
      <c r="X132" s="84"/>
    </row>
    <row r="133" spans="2:28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90"/>
      <c r="D135" s="8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81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5"/>
      <c r="V138" s="75"/>
      <c r="W138" s="80"/>
      <c r="X138" s="75"/>
    </row>
    <row r="139" spans="2:28" x14ac:dyDescent="0.25"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5"/>
      <c r="V140" s="75"/>
      <c r="W140" s="80"/>
      <c r="X140" s="75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92"/>
      <c r="V142" s="92"/>
      <c r="W142" s="80"/>
      <c r="X142" s="92"/>
    </row>
    <row r="143" spans="2:28" x14ac:dyDescent="0.25">
      <c r="B143" s="75"/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93"/>
      <c r="V143" s="93"/>
      <c r="W143" s="80"/>
      <c r="X143" s="93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>
        <v>3003000</v>
      </c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90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3:24" x14ac:dyDescent="0.25">
      <c r="C156" s="81">
        <v>42614840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>
        <v>412608</v>
      </c>
      <c r="U156" s="75"/>
      <c r="V156" s="75"/>
      <c r="W156" s="80"/>
      <c r="X156" s="75"/>
    </row>
    <row r="157" spans="3:24" x14ac:dyDescent="0.25">
      <c r="C157" s="81">
        <v>9675182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>
        <v>1880000</v>
      </c>
      <c r="U157" s="75"/>
      <c r="V157" s="75"/>
      <c r="W157" s="80"/>
      <c r="X157" s="75"/>
    </row>
    <row r="158" spans="3:24" x14ac:dyDescent="0.25">
      <c r="C158" s="81">
        <v>17903600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3:24" x14ac:dyDescent="0.25">
      <c r="C159" s="81">
        <f>SUM(C156:C158)</f>
        <v>70193622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v>400000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>
        <f>+C159+C160</f>
        <v>70593622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4" spans="3:24" x14ac:dyDescent="0.25">
      <c r="C164" s="74">
        <v>64000000</v>
      </c>
    </row>
    <row r="165" spans="3:24" x14ac:dyDescent="0.25">
      <c r="C165" s="74">
        <v>11000000</v>
      </c>
    </row>
    <row r="166" spans="3:24" x14ac:dyDescent="0.25">
      <c r="C166" s="74">
        <f>+C164+C165</f>
        <v>75000000</v>
      </c>
    </row>
    <row r="170" spans="3:24" x14ac:dyDescent="0.25">
      <c r="C170" s="74">
        <v>2745000</v>
      </c>
    </row>
    <row r="171" spans="3:24" x14ac:dyDescent="0.25">
      <c r="C171" s="74">
        <v>3185000</v>
      </c>
    </row>
    <row r="172" spans="3:24" x14ac:dyDescent="0.25">
      <c r="C172" s="74">
        <v>1080000</v>
      </c>
    </row>
    <row r="173" spans="3:24" x14ac:dyDescent="0.25">
      <c r="C173" s="74">
        <v>4850100</v>
      </c>
    </row>
    <row r="174" spans="3:24" x14ac:dyDescent="0.25">
      <c r="C174" s="74">
        <v>5027500</v>
      </c>
    </row>
    <row r="175" spans="3:24" x14ac:dyDescent="0.25">
      <c r="C175" s="74">
        <v>4566000</v>
      </c>
    </row>
    <row r="176" spans="3:24" x14ac:dyDescent="0.25">
      <c r="C176" s="74">
        <v>1050000</v>
      </c>
    </row>
    <row r="177" spans="3:3" x14ac:dyDescent="0.25">
      <c r="C177" s="74">
        <v>3877333</v>
      </c>
    </row>
    <row r="178" spans="3:3" x14ac:dyDescent="0.25">
      <c r="C178" s="74">
        <v>6732440</v>
      </c>
    </row>
    <row r="179" spans="3:3" x14ac:dyDescent="0.25">
      <c r="C179" s="74">
        <v>3460000</v>
      </c>
    </row>
    <row r="180" spans="3:3" x14ac:dyDescent="0.25">
      <c r="C180" s="74">
        <v>588800</v>
      </c>
    </row>
    <row r="181" spans="3:3" x14ac:dyDescent="0.25">
      <c r="C181" s="74">
        <v>1868000</v>
      </c>
    </row>
    <row r="182" spans="3:3" x14ac:dyDescent="0.25">
      <c r="C182" s="74">
        <v>10313000</v>
      </c>
    </row>
    <row r="183" spans="3:3" x14ac:dyDescent="0.25">
      <c r="C183" s="74">
        <v>3443800</v>
      </c>
    </row>
    <row r="184" spans="3:3" x14ac:dyDescent="0.25">
      <c r="C184" s="74">
        <v>8136400</v>
      </c>
    </row>
    <row r="185" spans="3:3" x14ac:dyDescent="0.25">
      <c r="C185" s="74">
        <v>9675183</v>
      </c>
    </row>
    <row r="186" spans="3:3" x14ac:dyDescent="0.25">
      <c r="C186" s="74">
        <f>SUM(C170:C185)</f>
        <v>70598556</v>
      </c>
    </row>
  </sheetData>
  <mergeCells count="7">
    <mergeCell ref="D129:X129"/>
    <mergeCell ref="C1:U1"/>
    <mergeCell ref="E2:K2"/>
    <mergeCell ref="L2:T2"/>
    <mergeCell ref="A3:A41"/>
    <mergeCell ref="A42:A89"/>
    <mergeCell ref="E128:Q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185"/>
  <sheetViews>
    <sheetView workbookViewId="0">
      <selection activeCell="G11" sqref="G11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191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66"/>
      <c r="X3" s="20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4500000</v>
      </c>
      <c r="F4" s="22">
        <v>0</v>
      </c>
      <c r="G4" s="22">
        <f t="shared" ref="G4:G8" si="0">+E4/30*F4</f>
        <v>0</v>
      </c>
      <c r="H4" s="22"/>
      <c r="I4" s="22"/>
      <c r="J4" s="22"/>
      <c r="K4" s="22">
        <f t="shared" ref="K4:K29" si="1">SUM(G4:I4)+J4</f>
        <v>0</v>
      </c>
      <c r="L4" s="22">
        <f t="shared" ref="L4:L41" si="2">+G4*4%</f>
        <v>0</v>
      </c>
      <c r="M4" s="22">
        <f>+G4*5%</f>
        <v>0</v>
      </c>
      <c r="N4" s="22"/>
      <c r="O4" s="22"/>
      <c r="P4" s="22"/>
      <c r="Q4" s="22"/>
      <c r="R4" s="22"/>
      <c r="S4" s="22"/>
      <c r="T4" s="22">
        <f t="shared" ref="T4:T43" si="3">SUM(L4:S4)</f>
        <v>0</v>
      </c>
      <c r="U4" s="23">
        <f>+K4-T4</f>
        <v>0</v>
      </c>
      <c r="V4" s="23"/>
      <c r="W4" s="64"/>
      <c r="X4" s="23">
        <f t="shared" ref="X4:X67" si="4">U4+V4-W4</f>
        <v>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>
        <v>273650</v>
      </c>
      <c r="T6" s="22">
        <f t="shared" si="3"/>
        <v>588650</v>
      </c>
      <c r="U6" s="23">
        <f>+K6-T6</f>
        <v>3911350</v>
      </c>
      <c r="V6" s="23"/>
      <c r="W6" s="64"/>
      <c r="X6" s="23">
        <f t="shared" si="4"/>
        <v>3911350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64"/>
      <c r="X7" s="23">
        <f t="shared" si="4"/>
        <v>3833211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64"/>
      <c r="X8" s="23">
        <f t="shared" si="4"/>
        <v>6014299</v>
      </c>
    </row>
    <row r="9" spans="1:24" ht="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3"/>
      <c r="W9" s="64"/>
      <c r="X9" s="23">
        <f t="shared" si="4"/>
        <v>2873705</v>
      </c>
    </row>
    <row r="10" spans="1:24" x14ac:dyDescent="0.25">
      <c r="A10" s="233"/>
      <c r="B10" s="26">
        <v>7</v>
      </c>
      <c r="C10" s="19" t="s">
        <v>44</v>
      </c>
      <c r="D10" s="20" t="s">
        <v>32</v>
      </c>
      <c r="E10" s="22">
        <v>5000000</v>
      </c>
      <c r="F10" s="22">
        <v>27</v>
      </c>
      <c r="G10" s="22">
        <f>+E10/30*F10</f>
        <v>4500000</v>
      </c>
      <c r="H10" s="22"/>
      <c r="I10" s="22">
        <v>136000</v>
      </c>
      <c r="J10" s="22">
        <v>500000</v>
      </c>
      <c r="K10" s="22">
        <f t="shared" si="1"/>
        <v>5136000</v>
      </c>
      <c r="L10" s="22">
        <v>200000</v>
      </c>
      <c r="M10" s="22">
        <v>250000</v>
      </c>
      <c r="N10" s="22"/>
      <c r="O10" s="22"/>
      <c r="P10" s="22">
        <v>6248</v>
      </c>
      <c r="Q10" s="22"/>
      <c r="R10" s="22"/>
      <c r="S10" s="22"/>
      <c r="T10" s="22">
        <f t="shared" si="3"/>
        <v>456248</v>
      </c>
      <c r="U10" s="23">
        <f t="shared" ref="U10:U16" si="6">+K10-T10</f>
        <v>4679752</v>
      </c>
      <c r="V10" s="23"/>
      <c r="W10" s="64"/>
      <c r="X10" s="23">
        <f t="shared" si="4"/>
        <v>4679752</v>
      </c>
    </row>
    <row r="11" spans="1:24" ht="25.5" customHeight="1" x14ac:dyDescent="0.25">
      <c r="A11" s="233"/>
      <c r="B11" s="26">
        <v>8</v>
      </c>
      <c r="C11" s="30" t="s">
        <v>47</v>
      </c>
      <c r="D11" s="26" t="s">
        <v>32</v>
      </c>
      <c r="E11" s="22">
        <v>3745000</v>
      </c>
      <c r="F11" s="22">
        <v>30</v>
      </c>
      <c r="G11" s="22">
        <f t="shared" ref="G11:G16" si="7">+E11/30*F11</f>
        <v>3745000</v>
      </c>
      <c r="H11" s="22"/>
      <c r="I11" s="22">
        <v>535000</v>
      </c>
      <c r="J11" s="22"/>
      <c r="K11" s="22">
        <f t="shared" si="1"/>
        <v>4280000</v>
      </c>
      <c r="L11" s="22">
        <v>149800</v>
      </c>
      <c r="M11" s="22">
        <v>187250</v>
      </c>
      <c r="N11" s="22"/>
      <c r="O11" s="22"/>
      <c r="P11" s="22">
        <v>0</v>
      </c>
      <c r="Q11" s="22"/>
      <c r="R11" s="22"/>
      <c r="S11" s="22"/>
      <c r="T11" s="22">
        <f t="shared" si="3"/>
        <v>337050</v>
      </c>
      <c r="U11" s="23">
        <f t="shared" si="6"/>
        <v>3942950</v>
      </c>
      <c r="V11" s="23"/>
      <c r="W11" s="64"/>
      <c r="X11" s="23">
        <f t="shared" si="4"/>
        <v>3942950</v>
      </c>
    </row>
    <row r="12" spans="1:24" x14ac:dyDescent="0.25">
      <c r="A12" s="233"/>
      <c r="B12" s="26">
        <v>9</v>
      </c>
      <c r="C12" s="30" t="s">
        <v>199</v>
      </c>
      <c r="D12" s="26" t="s">
        <v>32</v>
      </c>
      <c r="E12" s="22">
        <v>4500000</v>
      </c>
      <c r="F12" s="22">
        <v>16</v>
      </c>
      <c r="G12" s="22">
        <f t="shared" si="7"/>
        <v>2400000</v>
      </c>
      <c r="H12" s="22"/>
      <c r="I12" s="22"/>
      <c r="J12" s="22">
        <v>200000</v>
      </c>
      <c r="K12" s="22">
        <f t="shared" si="1"/>
        <v>2600000</v>
      </c>
      <c r="L12" s="22">
        <f>+G12*4%</f>
        <v>96000</v>
      </c>
      <c r="M12" s="22">
        <v>96000</v>
      </c>
      <c r="N12" s="22"/>
      <c r="O12" s="22"/>
      <c r="P12" s="22">
        <v>3000</v>
      </c>
      <c r="Q12" s="22"/>
      <c r="R12" s="22"/>
      <c r="S12" s="22"/>
      <c r="T12" s="22">
        <f t="shared" si="3"/>
        <v>195000</v>
      </c>
      <c r="U12" s="23">
        <f t="shared" si="6"/>
        <v>2405000</v>
      </c>
      <c r="V12" s="23"/>
      <c r="W12" s="64"/>
      <c r="X12" s="23">
        <f t="shared" si="4"/>
        <v>2405000</v>
      </c>
    </row>
    <row r="13" spans="1:24" x14ac:dyDescent="0.25">
      <c r="A13" s="233"/>
      <c r="B13" s="26">
        <v>10</v>
      </c>
      <c r="C13" s="30" t="s">
        <v>200</v>
      </c>
      <c r="D13" s="26" t="s">
        <v>32</v>
      </c>
      <c r="E13" s="22">
        <v>4200000</v>
      </c>
      <c r="F13" s="22">
        <v>24</v>
      </c>
      <c r="G13" s="22">
        <f t="shared" si="7"/>
        <v>3360000</v>
      </c>
      <c r="H13" s="22"/>
      <c r="I13" s="22"/>
      <c r="J13" s="22">
        <v>280000</v>
      </c>
      <c r="K13" s="22">
        <f t="shared" si="1"/>
        <v>3640000</v>
      </c>
      <c r="L13" s="22">
        <f>+G13*4%</f>
        <v>134400</v>
      </c>
      <c r="M13" s="22">
        <f>+G13*5%</f>
        <v>168000</v>
      </c>
      <c r="N13" s="22"/>
      <c r="O13" s="22"/>
      <c r="P13" s="22">
        <v>7000</v>
      </c>
      <c r="Q13" s="22"/>
      <c r="R13" s="22"/>
      <c r="S13" s="22"/>
      <c r="T13" s="22">
        <f t="shared" si="3"/>
        <v>309400</v>
      </c>
      <c r="U13" s="23">
        <f t="shared" si="6"/>
        <v>3330600</v>
      </c>
      <c r="V13" s="23"/>
      <c r="W13" s="64"/>
      <c r="X13" s="23">
        <f t="shared" si="4"/>
        <v>3330600</v>
      </c>
    </row>
    <row r="14" spans="1:24" x14ac:dyDescent="0.25">
      <c r="A14" s="233"/>
      <c r="B14" s="26">
        <v>11</v>
      </c>
      <c r="C14" s="30" t="s">
        <v>172</v>
      </c>
      <c r="D14" s="26" t="s">
        <v>32</v>
      </c>
      <c r="E14" s="22">
        <v>4500000</v>
      </c>
      <c r="F14" s="22">
        <v>30</v>
      </c>
      <c r="G14" s="22">
        <f t="shared" si="7"/>
        <v>4500000</v>
      </c>
      <c r="H14" s="22"/>
      <c r="I14" s="22"/>
      <c r="J14" s="22"/>
      <c r="K14" s="22">
        <f t="shared" si="1"/>
        <v>4500000</v>
      </c>
      <c r="L14" s="22">
        <v>180000</v>
      </c>
      <c r="M14" s="22">
        <v>225000</v>
      </c>
      <c r="N14" s="22"/>
      <c r="O14" s="22"/>
      <c r="P14" s="22">
        <v>98752</v>
      </c>
      <c r="Q14" s="22"/>
      <c r="R14" s="22"/>
      <c r="S14" s="22"/>
      <c r="T14" s="22">
        <f t="shared" si="3"/>
        <v>503752</v>
      </c>
      <c r="U14" s="23">
        <f t="shared" si="6"/>
        <v>3996248</v>
      </c>
      <c r="V14" s="23"/>
      <c r="W14" s="64"/>
      <c r="X14" s="23">
        <f t="shared" si="4"/>
        <v>3996248</v>
      </c>
    </row>
    <row r="15" spans="1:24" x14ac:dyDescent="0.25">
      <c r="A15" s="233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7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6"/>
        <v>4454479</v>
      </c>
      <c r="V15" s="23"/>
      <c r="W15" s="64"/>
      <c r="X15" s="23">
        <f t="shared" si="4"/>
        <v>4454479</v>
      </c>
    </row>
    <row r="16" spans="1:24" ht="21.75" customHeight="1" x14ac:dyDescent="0.25">
      <c r="A16" s="233"/>
      <c r="B16" s="26">
        <v>13</v>
      </c>
      <c r="C16" s="19" t="s">
        <v>51</v>
      </c>
      <c r="D16" s="20" t="s">
        <v>32</v>
      </c>
      <c r="E16" s="22">
        <v>3500000</v>
      </c>
      <c r="F16" s="22">
        <v>30</v>
      </c>
      <c r="G16" s="22">
        <f t="shared" si="7"/>
        <v>3500000</v>
      </c>
      <c r="H16" s="22"/>
      <c r="I16" s="22"/>
      <c r="J16" s="22"/>
      <c r="K16" s="22">
        <f t="shared" si="1"/>
        <v>3500000</v>
      </c>
      <c r="L16" s="22">
        <f t="shared" si="2"/>
        <v>140000</v>
      </c>
      <c r="M16" s="22">
        <f t="shared" si="5"/>
        <v>175000</v>
      </c>
      <c r="N16" s="22"/>
      <c r="O16" s="22"/>
      <c r="P16" s="25">
        <v>0</v>
      </c>
      <c r="Q16" s="22"/>
      <c r="R16" s="22"/>
      <c r="S16" s="22"/>
      <c r="T16" s="22">
        <f t="shared" si="3"/>
        <v>315000</v>
      </c>
      <c r="U16" s="23">
        <f t="shared" si="6"/>
        <v>3185000</v>
      </c>
      <c r="V16" s="23"/>
      <c r="W16" s="64"/>
      <c r="X16" s="23">
        <f t="shared" si="4"/>
        <v>3185000</v>
      </c>
    </row>
    <row r="17" spans="1:24" ht="24" x14ac:dyDescent="0.25">
      <c r="A17" s="233"/>
      <c r="B17" s="26">
        <v>14</v>
      </c>
      <c r="C17" s="19" t="s">
        <v>54</v>
      </c>
      <c r="D17" s="20" t="s">
        <v>32</v>
      </c>
      <c r="E17" s="22">
        <v>5000000</v>
      </c>
      <c r="F17" s="22">
        <v>30</v>
      </c>
      <c r="G17" s="22">
        <f>E17/30*F17</f>
        <v>5000000</v>
      </c>
      <c r="H17" s="22">
        <v>90000</v>
      </c>
      <c r="I17" s="22">
        <v>900000</v>
      </c>
      <c r="J17" s="22"/>
      <c r="K17" s="22">
        <f t="shared" si="1"/>
        <v>5990000</v>
      </c>
      <c r="L17" s="22">
        <v>200000</v>
      </c>
      <c r="M17" s="22">
        <v>250000</v>
      </c>
      <c r="N17" s="22"/>
      <c r="O17" s="22"/>
      <c r="P17" s="25">
        <v>98752</v>
      </c>
      <c r="Q17" s="22"/>
      <c r="R17" s="22"/>
      <c r="S17" s="22"/>
      <c r="T17" s="22">
        <f t="shared" si="3"/>
        <v>548752</v>
      </c>
      <c r="U17" s="23">
        <f>K17-T17</f>
        <v>5441248</v>
      </c>
      <c r="V17" s="23"/>
      <c r="W17" s="64"/>
      <c r="X17" s="23">
        <f t="shared" si="4"/>
        <v>5441248</v>
      </c>
    </row>
    <row r="18" spans="1:24" x14ac:dyDescent="0.25">
      <c r="A18" s="233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64"/>
      <c r="X18" s="23">
        <f t="shared" si="4"/>
        <v>4410167</v>
      </c>
    </row>
    <row r="19" spans="1:24" x14ac:dyDescent="0.25">
      <c r="A19" s="233"/>
      <c r="B19" s="26">
        <v>16</v>
      </c>
      <c r="C19" s="19" t="s">
        <v>192</v>
      </c>
      <c r="D19" s="20" t="s">
        <v>32</v>
      </c>
      <c r="E19" s="22">
        <v>5500000</v>
      </c>
      <c r="F19" s="22">
        <v>30</v>
      </c>
      <c r="G19" s="22">
        <f t="shared" si="8"/>
        <v>5500000</v>
      </c>
      <c r="H19" s="22"/>
      <c r="I19" s="22"/>
      <c r="J19" s="22"/>
      <c r="K19" s="22">
        <f t="shared" ref="K19" si="9">SUM(G19:I19)+J19</f>
        <v>5500000</v>
      </c>
      <c r="L19" s="22">
        <f t="shared" si="2"/>
        <v>220000</v>
      </c>
      <c r="M19" s="22">
        <f t="shared" si="5"/>
        <v>275000</v>
      </c>
      <c r="N19" s="22"/>
      <c r="O19" s="22"/>
      <c r="P19" s="25">
        <v>98000</v>
      </c>
      <c r="Q19" s="22"/>
      <c r="R19" s="22"/>
      <c r="S19" s="22"/>
      <c r="T19" s="22">
        <f t="shared" si="3"/>
        <v>593000</v>
      </c>
      <c r="U19" s="23">
        <f>K19-T19</f>
        <v>4907000</v>
      </c>
      <c r="V19" s="23"/>
      <c r="W19" s="64"/>
      <c r="X19" s="23">
        <f t="shared" si="4"/>
        <v>4907000</v>
      </c>
    </row>
    <row r="20" spans="1:24" x14ac:dyDescent="0.25">
      <c r="A20" s="233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64"/>
      <c r="X20" s="23">
        <f t="shared" si="4"/>
        <v>3995199</v>
      </c>
    </row>
    <row r="21" spans="1:24" x14ac:dyDescent="0.25">
      <c r="A21" s="233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/>
      <c r="P21" s="25">
        <v>31000</v>
      </c>
      <c r="Q21" s="22"/>
      <c r="R21" s="22"/>
      <c r="S21" s="22"/>
      <c r="T21" s="22">
        <f t="shared" si="3"/>
        <v>391000.00000000006</v>
      </c>
      <c r="U21" s="23">
        <f>+K21-T21</f>
        <v>3609000.0000000005</v>
      </c>
      <c r="V21" s="23"/>
      <c r="W21" s="64"/>
      <c r="X21" s="23">
        <f t="shared" si="4"/>
        <v>3609000.0000000005</v>
      </c>
    </row>
    <row r="22" spans="1:24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8"/>
        <v>5031675</v>
      </c>
      <c r="H22" s="22"/>
      <c r="I22" s="22">
        <v>10000</v>
      </c>
      <c r="J22" s="22">
        <v>1719130</v>
      </c>
      <c r="K22" s="22">
        <f t="shared" si="1"/>
        <v>6760805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3"/>
        <v>596971.75</v>
      </c>
      <c r="U22" s="23">
        <f>K22-T22</f>
        <v>6163833.25</v>
      </c>
      <c r="V22" s="23"/>
      <c r="W22" s="64"/>
      <c r="X22" s="23">
        <f t="shared" si="4"/>
        <v>6163833.25</v>
      </c>
    </row>
    <row r="23" spans="1:24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64"/>
      <c r="X23" s="23">
        <f t="shared" si="4"/>
        <v>4296000</v>
      </c>
    </row>
    <row r="24" spans="1:24" x14ac:dyDescent="0.25">
      <c r="A24" s="233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5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64"/>
      <c r="X24" s="23">
        <f t="shared" si="4"/>
        <v>4022854</v>
      </c>
    </row>
    <row r="25" spans="1:24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3"/>
      <c r="W25" s="64"/>
      <c r="X25" s="23">
        <f t="shared" si="4"/>
        <v>3608936.0000000005</v>
      </c>
    </row>
    <row r="26" spans="1:24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1">+K26-T26</f>
        <v>4420146</v>
      </c>
      <c r="V26" s="23"/>
      <c r="W26" s="64"/>
      <c r="X26" s="23">
        <f t="shared" si="4"/>
        <v>4420146</v>
      </c>
    </row>
    <row r="27" spans="1:24" ht="24" x14ac:dyDescent="0.25">
      <c r="A27" s="233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0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1"/>
        <v>3584143</v>
      </c>
      <c r="V27" s="23"/>
      <c r="W27" s="64"/>
      <c r="X27" s="23">
        <f t="shared" si="4"/>
        <v>3584143</v>
      </c>
    </row>
    <row r="28" spans="1:24" ht="24" x14ac:dyDescent="0.25">
      <c r="A28" s="233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0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1"/>
        <v>4060373</v>
      </c>
      <c r="V28" s="23"/>
      <c r="W28" s="64"/>
      <c r="X28" s="23">
        <f t="shared" si="4"/>
        <v>4060373</v>
      </c>
    </row>
    <row r="29" spans="1:24" x14ac:dyDescent="0.25">
      <c r="A29" s="233"/>
      <c r="B29" s="26">
        <v>26</v>
      </c>
      <c r="C29" s="30" t="s">
        <v>80</v>
      </c>
      <c r="D29" s="26" t="s">
        <v>32</v>
      </c>
      <c r="E29" s="22">
        <v>4500000</v>
      </c>
      <c r="F29" s="22">
        <v>30</v>
      </c>
      <c r="G29" s="22">
        <f t="shared" si="10"/>
        <v>4500000</v>
      </c>
      <c r="H29" s="22"/>
      <c r="I29" s="22"/>
      <c r="J29" s="22"/>
      <c r="K29" s="22">
        <f t="shared" si="1"/>
        <v>4500000</v>
      </c>
      <c r="L29" s="22">
        <f t="shared" si="2"/>
        <v>180000</v>
      </c>
      <c r="M29" s="22">
        <f t="shared" si="5"/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>K29-T29</f>
        <v>4060373</v>
      </c>
      <c r="V29" s="23"/>
      <c r="W29" s="64"/>
      <c r="X29" s="23">
        <f t="shared" si="4"/>
        <v>4060373</v>
      </c>
    </row>
    <row r="30" spans="1:24" ht="24" x14ac:dyDescent="0.25">
      <c r="A30" s="233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2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3"/>
      <c r="W30" s="64"/>
      <c r="X30" s="23">
        <f t="shared" si="4"/>
        <v>5304000</v>
      </c>
    </row>
    <row r="31" spans="1:24" x14ac:dyDescent="0.25">
      <c r="A31" s="233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0"/>
        <v>6900000</v>
      </c>
      <c r="H31" s="22"/>
      <c r="I31" s="22">
        <v>1500000</v>
      </c>
      <c r="J31" s="22"/>
      <c r="K31" s="22">
        <f t="shared" si="12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/>
      <c r="T31" s="22">
        <f t="shared" si="3"/>
        <v>966000</v>
      </c>
      <c r="U31" s="23">
        <f>K31-T31</f>
        <v>7434000</v>
      </c>
      <c r="V31" s="23"/>
      <c r="W31" s="64"/>
      <c r="X31" s="23">
        <f t="shared" si="4"/>
        <v>7434000</v>
      </c>
    </row>
    <row r="32" spans="1:24" x14ac:dyDescent="0.25">
      <c r="A32" s="233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0"/>
        <v>5000000</v>
      </c>
      <c r="H32" s="22"/>
      <c r="I32" s="22"/>
      <c r="J32" s="22"/>
      <c r="K32" s="22">
        <f t="shared" si="12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 t="shared" si="3"/>
        <v>589833</v>
      </c>
      <c r="U32" s="23">
        <f t="shared" ref="U32:U37" si="13">+K32-T32</f>
        <v>4410167</v>
      </c>
      <c r="V32" s="23"/>
      <c r="W32" s="64"/>
      <c r="X32" s="23">
        <f t="shared" si="4"/>
        <v>4410167</v>
      </c>
    </row>
    <row r="33" spans="1:24" x14ac:dyDescent="0.25">
      <c r="A33" s="233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0"/>
        <v>4000000.0000000005</v>
      </c>
      <c r="H33" s="22"/>
      <c r="I33" s="22"/>
      <c r="J33" s="22"/>
      <c r="K33" s="22">
        <f t="shared" si="12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T33" s="22">
        <f>SUM(L33:R33)</f>
        <v>360000.00000000006</v>
      </c>
      <c r="U33" s="23">
        <f t="shared" si="13"/>
        <v>3640000.0000000005</v>
      </c>
      <c r="V33" s="23"/>
      <c r="W33" s="64"/>
      <c r="X33" s="23">
        <f t="shared" si="4"/>
        <v>3640000.0000000005</v>
      </c>
    </row>
    <row r="34" spans="1:24" ht="26.25" customHeight="1" x14ac:dyDescent="0.25">
      <c r="A34" s="233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0"/>
        <v>4500000</v>
      </c>
      <c r="H34" s="22"/>
      <c r="I34" s="22"/>
      <c r="J34" s="22"/>
      <c r="K34" s="22">
        <f t="shared" si="12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3"/>
        <v>3996000</v>
      </c>
      <c r="V34" s="23"/>
      <c r="W34" s="64"/>
      <c r="X34" s="23">
        <f t="shared" si="4"/>
        <v>3996000</v>
      </c>
    </row>
    <row r="35" spans="1:24" ht="26.25" customHeight="1" x14ac:dyDescent="0.25">
      <c r="A35" s="233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0"/>
        <v>4250000</v>
      </c>
      <c r="H35" s="22"/>
      <c r="I35" s="22"/>
      <c r="J35" s="22"/>
      <c r="K35" s="22">
        <f t="shared" ref="K35" si="14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3"/>
        <v>3829500</v>
      </c>
      <c r="V35" s="23"/>
      <c r="W35" s="64"/>
      <c r="X35" s="23">
        <f t="shared" si="4"/>
        <v>3829500</v>
      </c>
    </row>
    <row r="36" spans="1:24" ht="24" x14ac:dyDescent="0.25">
      <c r="A36" s="233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0"/>
        <v>3000000</v>
      </c>
      <c r="H36" s="22"/>
      <c r="I36" s="22"/>
      <c r="J36" s="22"/>
      <c r="K36" s="22">
        <f t="shared" si="12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3"/>
        <v>2730000</v>
      </c>
      <c r="V36" s="23"/>
      <c r="W36" s="64"/>
      <c r="X36" s="23">
        <f t="shared" si="4"/>
        <v>2730000</v>
      </c>
    </row>
    <row r="37" spans="1:24" x14ac:dyDescent="0.25">
      <c r="A37" s="233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0"/>
        <v>4500000</v>
      </c>
      <c r="H37" s="22"/>
      <c r="I37" s="22">
        <v>300000</v>
      </c>
      <c r="J37" s="22"/>
      <c r="K37" s="22">
        <f t="shared" si="12"/>
        <v>4800000</v>
      </c>
      <c r="L37" s="22">
        <f t="shared" si="2"/>
        <v>180000</v>
      </c>
      <c r="M37" s="22">
        <f t="shared" si="5"/>
        <v>225000</v>
      </c>
      <c r="N37" s="22"/>
      <c r="O37" s="22">
        <v>66100</v>
      </c>
      <c r="P37" s="22">
        <v>8021</v>
      </c>
      <c r="Q37" s="22"/>
      <c r="R37" s="22"/>
      <c r="S37" s="22"/>
      <c r="T37" s="22">
        <f t="shared" si="3"/>
        <v>479121</v>
      </c>
      <c r="U37" s="23">
        <f t="shared" si="13"/>
        <v>4320879</v>
      </c>
      <c r="V37" s="23"/>
      <c r="W37" s="64"/>
      <c r="X37" s="23">
        <f t="shared" si="4"/>
        <v>4320879</v>
      </c>
    </row>
    <row r="38" spans="1:24" ht="30.75" customHeight="1" x14ac:dyDescent="0.25">
      <c r="A38" s="233"/>
      <c r="B38" s="26">
        <v>35</v>
      </c>
      <c r="C38" s="19" t="s">
        <v>94</v>
      </c>
      <c r="D38" s="20" t="s">
        <v>32</v>
      </c>
      <c r="E38" s="22">
        <v>4815000</v>
      </c>
      <c r="F38" s="22">
        <v>26</v>
      </c>
      <c r="G38" s="22">
        <f t="shared" si="10"/>
        <v>4173000</v>
      </c>
      <c r="H38" s="22"/>
      <c r="I38" s="22">
        <v>350000</v>
      </c>
      <c r="J38" s="22">
        <v>642000</v>
      </c>
      <c r="K38" s="22">
        <f t="shared" si="12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3"/>
      <c r="W38" s="64"/>
      <c r="X38" s="23">
        <f t="shared" si="4"/>
        <v>4642650</v>
      </c>
    </row>
    <row r="39" spans="1:24" x14ac:dyDescent="0.25">
      <c r="A39" s="233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0"/>
        <v>6900000</v>
      </c>
      <c r="H39" s="22"/>
      <c r="I39" s="22"/>
      <c r="J39" s="22"/>
      <c r="K39" s="22">
        <f t="shared" si="12"/>
        <v>6900000</v>
      </c>
      <c r="L39" s="22">
        <v>276000</v>
      </c>
      <c r="M39" s="22">
        <v>345000</v>
      </c>
      <c r="N39" s="22"/>
      <c r="O39" s="22"/>
      <c r="P39" s="22">
        <v>88069</v>
      </c>
      <c r="Q39" s="22">
        <v>1500000</v>
      </c>
      <c r="R39" s="22"/>
      <c r="S39" s="22"/>
      <c r="T39" s="22">
        <f t="shared" si="3"/>
        <v>2209069</v>
      </c>
      <c r="U39" s="23">
        <f>K39-T39</f>
        <v>4690931</v>
      </c>
      <c r="V39" s="23"/>
      <c r="W39" s="64"/>
      <c r="X39" s="23">
        <f t="shared" si="4"/>
        <v>4690931</v>
      </c>
    </row>
    <row r="40" spans="1:24" x14ac:dyDescent="0.25">
      <c r="A40" s="234"/>
      <c r="B40" s="26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0"/>
        <v>4000000.0000000005</v>
      </c>
      <c r="H40" s="22"/>
      <c r="I40" s="22"/>
      <c r="J40" s="22"/>
      <c r="K40" s="22">
        <f t="shared" si="12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>
        <v>36700</v>
      </c>
      <c r="P40" s="22">
        <v>31000</v>
      </c>
      <c r="Q40" s="22"/>
      <c r="R40" s="22"/>
      <c r="S40" s="22"/>
      <c r="T40" s="22">
        <f t="shared" si="3"/>
        <v>427700.00000000006</v>
      </c>
      <c r="U40" s="23">
        <f>K40-T40</f>
        <v>3572300.0000000005</v>
      </c>
      <c r="V40" s="23"/>
      <c r="W40" s="64"/>
      <c r="X40" s="23">
        <f t="shared" si="4"/>
        <v>3572300.0000000005</v>
      </c>
    </row>
    <row r="41" spans="1:24" x14ac:dyDescent="0.25">
      <c r="A41" s="235" t="s">
        <v>99</v>
      </c>
      <c r="B41" s="26">
        <v>1</v>
      </c>
      <c r="C41" s="19" t="s">
        <v>100</v>
      </c>
      <c r="D41" s="20" t="s">
        <v>32</v>
      </c>
      <c r="E41" s="22">
        <v>2000000</v>
      </c>
      <c r="F41" s="22">
        <v>30</v>
      </c>
      <c r="G41" s="22">
        <f t="shared" si="10"/>
        <v>2000000.0000000002</v>
      </c>
      <c r="H41" s="22"/>
      <c r="I41" s="22">
        <v>500000</v>
      </c>
      <c r="J41" s="22"/>
      <c r="K41" s="22">
        <f t="shared" si="12"/>
        <v>2500000</v>
      </c>
      <c r="L41" s="22">
        <f t="shared" si="2"/>
        <v>80000.000000000015</v>
      </c>
      <c r="M41" s="22">
        <f t="shared" ref="M41" si="15">+G41*4%</f>
        <v>80000.000000000015</v>
      </c>
      <c r="N41" s="22"/>
      <c r="O41" s="22">
        <v>21800</v>
      </c>
      <c r="P41" s="25">
        <v>0</v>
      </c>
      <c r="Q41" s="22"/>
      <c r="R41" s="22">
        <v>163485</v>
      </c>
      <c r="S41" s="22">
        <v>152804</v>
      </c>
      <c r="T41" s="22">
        <f t="shared" si="3"/>
        <v>498089</v>
      </c>
      <c r="U41" s="23">
        <f>+K41-T41</f>
        <v>2001911</v>
      </c>
      <c r="V41" s="23"/>
      <c r="W41" s="64"/>
      <c r="X41" s="23">
        <f t="shared" si="4"/>
        <v>2001911</v>
      </c>
    </row>
    <row r="42" spans="1:24" ht="25.5" customHeight="1" x14ac:dyDescent="0.25">
      <c r="A42" s="235"/>
      <c r="B42" s="26">
        <v>2</v>
      </c>
      <c r="C42" s="19" t="s">
        <v>103</v>
      </c>
      <c r="D42" s="20" t="s">
        <v>32</v>
      </c>
      <c r="E42" s="22">
        <v>344727</v>
      </c>
      <c r="F42" s="22">
        <v>30</v>
      </c>
      <c r="G42" s="22">
        <f t="shared" si="10"/>
        <v>344727</v>
      </c>
      <c r="H42" s="22"/>
      <c r="I42" s="22"/>
      <c r="J42" s="22"/>
      <c r="K42" s="22">
        <f t="shared" si="12"/>
        <v>344727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344727</v>
      </c>
      <c r="V42" s="23"/>
      <c r="W42" s="64"/>
      <c r="X42" s="23">
        <f t="shared" si="4"/>
        <v>344727</v>
      </c>
    </row>
    <row r="43" spans="1:24" x14ac:dyDescent="0.25">
      <c r="A43" s="235"/>
      <c r="B43" s="26">
        <v>3</v>
      </c>
      <c r="C43" s="30" t="s">
        <v>180</v>
      </c>
      <c r="D43" s="26" t="s">
        <v>32</v>
      </c>
      <c r="E43" s="22">
        <v>689455</v>
      </c>
      <c r="F43" s="22">
        <v>30</v>
      </c>
      <c r="G43" s="22">
        <f t="shared" si="10"/>
        <v>689455</v>
      </c>
      <c r="H43" s="22"/>
      <c r="I43" s="22"/>
      <c r="J43" s="22"/>
      <c r="K43" s="22">
        <f t="shared" ref="K43" si="16">SUM(G43:I43)+J43</f>
        <v>689455</v>
      </c>
      <c r="L43" s="22">
        <v>0</v>
      </c>
      <c r="M43" s="22"/>
      <c r="N43" s="22"/>
      <c r="O43" s="22"/>
      <c r="P43" s="22"/>
      <c r="Q43" s="22"/>
      <c r="R43" s="22"/>
      <c r="S43" s="22"/>
      <c r="T43" s="22">
        <f t="shared" si="3"/>
        <v>0</v>
      </c>
      <c r="U43" s="23">
        <f>K43-T43</f>
        <v>689455</v>
      </c>
      <c r="V43" s="23"/>
      <c r="W43" s="64"/>
      <c r="X43" s="23">
        <f t="shared" si="4"/>
        <v>689455</v>
      </c>
    </row>
    <row r="44" spans="1:24" ht="18" customHeight="1" x14ac:dyDescent="0.25">
      <c r="A44" s="235"/>
      <c r="B44" s="26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si="12"/>
        <v>689455</v>
      </c>
      <c r="L44" s="22"/>
      <c r="M44" s="22"/>
      <c r="N44" s="22"/>
      <c r="O44" s="22"/>
      <c r="P44" s="25"/>
      <c r="Q44" s="22"/>
      <c r="R44" s="22"/>
      <c r="S44" s="22"/>
      <c r="T44" s="22"/>
      <c r="U44" s="23">
        <f>+K44-T44</f>
        <v>689455</v>
      </c>
      <c r="V44" s="23"/>
      <c r="W44" s="64"/>
      <c r="X44" s="23">
        <f t="shared" si="4"/>
        <v>689455</v>
      </c>
    </row>
    <row r="45" spans="1:24" x14ac:dyDescent="0.25">
      <c r="A45" s="235"/>
      <c r="B45" s="26">
        <v>5</v>
      </c>
      <c r="C45" s="30" t="s">
        <v>181</v>
      </c>
      <c r="D45" s="26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7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>
        <f t="shared" ref="T45:T92" si="18">SUM(L45:S45)</f>
        <v>0</v>
      </c>
      <c r="U45" s="23">
        <f>K45-T45</f>
        <v>689455</v>
      </c>
      <c r="V45" s="23"/>
      <c r="W45" s="64"/>
      <c r="X45" s="23">
        <f t="shared" si="4"/>
        <v>689455</v>
      </c>
    </row>
    <row r="46" spans="1:24" x14ac:dyDescent="0.25">
      <c r="A46" s="235"/>
      <c r="B46" s="26">
        <v>6</v>
      </c>
      <c r="C46" s="19" t="s">
        <v>104</v>
      </c>
      <c r="D46" s="20" t="s">
        <v>105</v>
      </c>
      <c r="E46" s="22">
        <v>800000</v>
      </c>
      <c r="F46" s="22">
        <v>29</v>
      </c>
      <c r="G46" s="22">
        <f>+E46/30*F46+17779</f>
        <v>791112.33333333337</v>
      </c>
      <c r="H46" s="22">
        <v>77700</v>
      </c>
      <c r="I46" s="22"/>
      <c r="J46" s="22"/>
      <c r="K46" s="22">
        <f t="shared" si="12"/>
        <v>868812.33333333337</v>
      </c>
      <c r="L46" s="22">
        <v>32000</v>
      </c>
      <c r="M46" s="22">
        <v>32000</v>
      </c>
      <c r="N46" s="22"/>
      <c r="O46" s="22"/>
      <c r="P46" s="25"/>
      <c r="Q46" s="22"/>
      <c r="R46" s="22"/>
      <c r="S46" s="22">
        <v>530791</v>
      </c>
      <c r="T46" s="22">
        <f>SUM(L46:S46)</f>
        <v>594791</v>
      </c>
      <c r="U46" s="23">
        <f>+K46-T46</f>
        <v>274021.33333333337</v>
      </c>
      <c r="V46" s="23"/>
      <c r="W46" s="64"/>
      <c r="X46" s="23">
        <f t="shared" si="4"/>
        <v>274021.33333333337</v>
      </c>
    </row>
    <row r="47" spans="1:24" ht="21.75" customHeight="1" x14ac:dyDescent="0.25">
      <c r="A47" s="235"/>
      <c r="B47" s="26">
        <v>7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2"/>
        <v>1177700</v>
      </c>
      <c r="L47" s="22">
        <f t="shared" ref="L47:L55" si="19">+G47*4%</f>
        <v>44000</v>
      </c>
      <c r="M47" s="22">
        <f t="shared" ref="M47:M55" si="20">+G47*4%</f>
        <v>44000</v>
      </c>
      <c r="N47" s="22"/>
      <c r="O47" s="22">
        <v>34300</v>
      </c>
      <c r="P47" s="22">
        <v>0</v>
      </c>
      <c r="Q47" s="22"/>
      <c r="R47" s="22"/>
      <c r="S47" s="22"/>
      <c r="T47" s="22">
        <f t="shared" si="18"/>
        <v>122300</v>
      </c>
      <c r="U47" s="23">
        <f t="shared" ref="U47:U53" si="21">+K47-T47</f>
        <v>1055400</v>
      </c>
      <c r="V47" s="23"/>
      <c r="W47" s="64"/>
      <c r="X47" s="23">
        <f t="shared" si="4"/>
        <v>1055400</v>
      </c>
    </row>
    <row r="48" spans="1:24" x14ac:dyDescent="0.25">
      <c r="A48" s="235"/>
      <c r="B48" s="26">
        <v>8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:G49" si="22">+E48/30*F48</f>
        <v>689454</v>
      </c>
      <c r="H48" s="22">
        <v>77700</v>
      </c>
      <c r="I48" s="22"/>
      <c r="J48" s="22"/>
      <c r="K48" s="22">
        <f t="shared" ref="K48:K49" si="23">SUM(G48:I48)+J48</f>
        <v>767154</v>
      </c>
      <c r="L48" s="22">
        <f t="shared" si="19"/>
        <v>27578.16</v>
      </c>
      <c r="M48" s="22">
        <f t="shared" si="20"/>
        <v>27578.16</v>
      </c>
      <c r="N48" s="22"/>
      <c r="O48" s="22"/>
      <c r="P48" s="25"/>
      <c r="Q48" s="22"/>
      <c r="R48" s="22"/>
      <c r="S48" s="22"/>
      <c r="T48" s="22">
        <f t="shared" si="18"/>
        <v>55156.32</v>
      </c>
      <c r="U48" s="23">
        <f t="shared" si="21"/>
        <v>711997.68</v>
      </c>
      <c r="V48" s="23"/>
      <c r="W48" s="64"/>
      <c r="X48" s="23">
        <f t="shared" si="4"/>
        <v>711997.68</v>
      </c>
    </row>
    <row r="49" spans="1:27" x14ac:dyDescent="0.25">
      <c r="A49" s="235"/>
      <c r="B49" s="26">
        <v>9</v>
      </c>
      <c r="C49" s="19" t="s">
        <v>194</v>
      </c>
      <c r="D49" s="20" t="s">
        <v>32</v>
      </c>
      <c r="E49" s="22">
        <v>689454</v>
      </c>
      <c r="F49" s="22">
        <v>30</v>
      </c>
      <c r="G49" s="22">
        <f t="shared" si="22"/>
        <v>689454</v>
      </c>
      <c r="H49" s="22">
        <v>77700</v>
      </c>
      <c r="I49" s="22"/>
      <c r="J49" s="22"/>
      <c r="K49" s="22">
        <f t="shared" si="23"/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ref="T49" si="24">SUM(L49:S49)</f>
        <v>55156.32</v>
      </c>
      <c r="U49" s="23">
        <f t="shared" si="21"/>
        <v>711997.68</v>
      </c>
      <c r="V49" s="23"/>
      <c r="W49" s="64"/>
      <c r="X49" s="23">
        <f t="shared" si="4"/>
        <v>711997.68</v>
      </c>
    </row>
    <row r="50" spans="1:27" ht="17.25" customHeight="1" x14ac:dyDescent="0.25">
      <c r="A50" s="235"/>
      <c r="B50" s="26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5">SUM(G50:I50)+J50</f>
        <v>3500000</v>
      </c>
      <c r="L50" s="22">
        <f t="shared" si="19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26">SUM(L50:S50)</f>
        <v>315000</v>
      </c>
      <c r="U50" s="23">
        <f t="shared" si="21"/>
        <v>3185000</v>
      </c>
      <c r="V50" s="23"/>
      <c r="W50" s="64"/>
      <c r="X50" s="23">
        <f t="shared" si="4"/>
        <v>3185000</v>
      </c>
    </row>
    <row r="51" spans="1:27" ht="17.25" customHeight="1" x14ac:dyDescent="0.25">
      <c r="A51" s="235"/>
      <c r="B51" s="26">
        <v>11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>
        <v>56500</v>
      </c>
      <c r="P51" s="22">
        <v>0</v>
      </c>
      <c r="Q51" s="22"/>
      <c r="R51" s="22"/>
      <c r="S51" s="22"/>
      <c r="T51" s="22">
        <f t="shared" si="18"/>
        <v>152500</v>
      </c>
      <c r="U51" s="23">
        <f t="shared" si="21"/>
        <v>1125200</v>
      </c>
      <c r="V51" s="23"/>
      <c r="W51" s="64"/>
      <c r="X51" s="23">
        <f t="shared" si="4"/>
        <v>1125200</v>
      </c>
    </row>
    <row r="52" spans="1:27" ht="17.25" customHeight="1" x14ac:dyDescent="0.25">
      <c r="A52" s="235"/>
      <c r="B52" s="26">
        <v>12</v>
      </c>
      <c r="C52" s="19" t="s">
        <v>201</v>
      </c>
      <c r="D52" s="20" t="s">
        <v>32</v>
      </c>
      <c r="E52" s="22">
        <v>1000000</v>
      </c>
      <c r="F52" s="22">
        <v>4</v>
      </c>
      <c r="G52" s="22">
        <f>E52/30*F52</f>
        <v>133333.33333333334</v>
      </c>
      <c r="H52" s="22">
        <f>+(77700/30)*4</f>
        <v>10360</v>
      </c>
      <c r="I52" s="22"/>
      <c r="J52" s="22">
        <v>11974</v>
      </c>
      <c r="K52" s="22">
        <f t="shared" ref="K52" si="27">SUM(G52:I52)+J52</f>
        <v>155667.33333333334</v>
      </c>
      <c r="L52" s="22">
        <f t="shared" ref="L52" si="28">+G52*4%</f>
        <v>5333.3333333333339</v>
      </c>
      <c r="M52" s="22">
        <f t="shared" ref="M52" si="29">+G52*4%</f>
        <v>5333.3333333333339</v>
      </c>
      <c r="N52" s="22"/>
      <c r="O52" s="22"/>
      <c r="P52" s="22">
        <v>0</v>
      </c>
      <c r="Q52" s="22"/>
      <c r="R52" s="22"/>
      <c r="S52" s="22"/>
      <c r="T52" s="22">
        <f t="shared" ref="T52" si="30">SUM(L52:S52)</f>
        <v>10666.666666666668</v>
      </c>
      <c r="U52" s="23">
        <f t="shared" si="21"/>
        <v>145000.66666666669</v>
      </c>
      <c r="V52" s="23"/>
      <c r="W52" s="64"/>
      <c r="X52" s="23">
        <f t="shared" si="4"/>
        <v>145000.66666666669</v>
      </c>
    </row>
    <row r="53" spans="1:27" ht="24" x14ac:dyDescent="0.25">
      <c r="A53" s="235"/>
      <c r="B53" s="26">
        <v>13</v>
      </c>
      <c r="C53" s="19" t="s">
        <v>109</v>
      </c>
      <c r="D53" s="20" t="s">
        <v>32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64"/>
      <c r="X53" s="23">
        <f t="shared" si="4"/>
        <v>905700</v>
      </c>
    </row>
    <row r="54" spans="1:27" x14ac:dyDescent="0.25">
      <c r="A54" s="235"/>
      <c r="B54" s="26">
        <v>14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31">K54-T54</f>
        <v>2300000</v>
      </c>
      <c r="V54" s="23"/>
      <c r="W54" s="64"/>
      <c r="X54" s="23">
        <f t="shared" si="4"/>
        <v>2300000</v>
      </c>
    </row>
    <row r="55" spans="1:27" x14ac:dyDescent="0.25">
      <c r="A55" s="235"/>
      <c r="B55" s="26">
        <v>15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31"/>
        <v>2033772</v>
      </c>
      <c r="V55" s="23"/>
      <c r="W55" s="64"/>
      <c r="X55" s="23">
        <f t="shared" si="4"/>
        <v>2033772</v>
      </c>
    </row>
    <row r="56" spans="1:27" x14ac:dyDescent="0.25">
      <c r="A56" s="235"/>
      <c r="B56" s="26">
        <v>16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32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31"/>
        <v>344727</v>
      </c>
      <c r="V56" s="23"/>
      <c r="W56" s="64"/>
      <c r="X56" s="23">
        <f t="shared" si="4"/>
        <v>344727</v>
      </c>
    </row>
    <row r="57" spans="1:27" ht="17.25" customHeight="1" x14ac:dyDescent="0.25">
      <c r="A57" s="235"/>
      <c r="B57" s="26">
        <v>17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31"/>
        <v>2407981</v>
      </c>
      <c r="V57" s="23"/>
      <c r="W57" s="64"/>
      <c r="X57" s="23">
        <f t="shared" si="4"/>
        <v>2407981</v>
      </c>
    </row>
    <row r="58" spans="1:27" ht="15.75" customHeight="1" x14ac:dyDescent="0.25">
      <c r="A58" s="235"/>
      <c r="B58" s="26">
        <v>18</v>
      </c>
      <c r="C58" s="19" t="s">
        <v>118</v>
      </c>
      <c r="D58" s="20" t="s">
        <v>32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31"/>
        <v>1019076</v>
      </c>
      <c r="V58" s="23"/>
      <c r="W58" s="64"/>
      <c r="X58" s="23">
        <f t="shared" si="4"/>
        <v>1019076</v>
      </c>
      <c r="AA58" s="65">
        <f>1196000+644000</f>
        <v>1840000</v>
      </c>
    </row>
    <row r="59" spans="1:27" x14ac:dyDescent="0.25">
      <c r="A59" s="235"/>
      <c r="B59" s="26">
        <v>19</v>
      </c>
      <c r="C59" s="30" t="s">
        <v>183</v>
      </c>
      <c r="D59" s="26" t="s">
        <v>32</v>
      </c>
      <c r="E59" s="22">
        <v>689455</v>
      </c>
      <c r="F59" s="22">
        <v>30</v>
      </c>
      <c r="G59" s="22">
        <f t="shared" ref="G59:G60" si="33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31"/>
        <v>689455</v>
      </c>
      <c r="V59" s="23"/>
      <c r="W59" s="64"/>
      <c r="X59" s="23">
        <f t="shared" si="4"/>
        <v>689455</v>
      </c>
    </row>
    <row r="60" spans="1:27" x14ac:dyDescent="0.25">
      <c r="A60" s="235"/>
      <c r="B60" s="26">
        <v>20</v>
      </c>
      <c r="C60" s="30" t="s">
        <v>188</v>
      </c>
      <c r="D60" s="26" t="s">
        <v>32</v>
      </c>
      <c r="E60" s="22">
        <v>1500000</v>
      </c>
      <c r="F60" s="22">
        <v>30</v>
      </c>
      <c r="G60" s="22">
        <f t="shared" si="33"/>
        <v>1500000</v>
      </c>
      <c r="H60" s="22"/>
      <c r="I60" s="22"/>
      <c r="J60" s="22"/>
      <c r="K60" s="22">
        <f t="shared" ref="K60" si="34">SUM(G60:I60)+J60</f>
        <v>1500000</v>
      </c>
      <c r="L60" s="22">
        <f>+G60*4%</f>
        <v>60000</v>
      </c>
      <c r="M60" s="22">
        <f>+G60*4%</f>
        <v>60000</v>
      </c>
      <c r="N60" s="22"/>
      <c r="O60" s="22">
        <v>21900</v>
      </c>
      <c r="P60" s="22"/>
      <c r="Q60" s="22"/>
      <c r="R60" s="22"/>
      <c r="S60" s="22"/>
      <c r="T60" s="22">
        <f t="shared" ref="T60" si="35">SUM(L60:S60)</f>
        <v>141900</v>
      </c>
      <c r="U60" s="23">
        <f t="shared" si="31"/>
        <v>1358100</v>
      </c>
      <c r="V60" s="23"/>
      <c r="W60" s="64"/>
      <c r="X60" s="23">
        <f t="shared" si="4"/>
        <v>1358100</v>
      </c>
    </row>
    <row r="61" spans="1:27" x14ac:dyDescent="0.25">
      <c r="A61" s="235"/>
      <c r="B61" s="26">
        <v>21</v>
      </c>
      <c r="C61" s="19" t="s">
        <v>196</v>
      </c>
      <c r="D61" s="20" t="s">
        <v>105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36">SUM(G61:I61)+J61</f>
        <v>767155</v>
      </c>
      <c r="L61" s="22">
        <f>+G61*4%</f>
        <v>27578.2</v>
      </c>
      <c r="M61" s="22">
        <f t="shared" ref="M61" si="37">+G61*4%</f>
        <v>27578.2</v>
      </c>
      <c r="N61" s="22"/>
      <c r="O61" s="22">
        <v>41700</v>
      </c>
      <c r="P61" s="25"/>
      <c r="Q61" s="22"/>
      <c r="R61" s="22"/>
      <c r="S61" s="22"/>
      <c r="T61" s="22">
        <f t="shared" ref="T61" si="38">SUM(L61:S61)</f>
        <v>96856.4</v>
      </c>
      <c r="U61" s="23">
        <f>+K61-T61</f>
        <v>670298.6</v>
      </c>
      <c r="V61" s="23"/>
      <c r="W61" s="64"/>
      <c r="X61" s="23">
        <f t="shared" si="4"/>
        <v>670298.6</v>
      </c>
    </row>
    <row r="62" spans="1:27" x14ac:dyDescent="0.25">
      <c r="A62" s="235"/>
      <c r="B62" s="26">
        <v>22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31"/>
        <v>344727</v>
      </c>
      <c r="V62" s="23"/>
      <c r="W62" s="64"/>
      <c r="X62" s="23">
        <f t="shared" si="4"/>
        <v>344727</v>
      </c>
      <c r="AA62" s="65">
        <f>1840000-1196000</f>
        <v>644000</v>
      </c>
    </row>
    <row r="63" spans="1:27" ht="24" x14ac:dyDescent="0.25">
      <c r="A63" s="235"/>
      <c r="B63" s="26">
        <v>23</v>
      </c>
      <c r="C63" s="19" t="s">
        <v>121</v>
      </c>
      <c r="D63" s="20" t="s">
        <v>105</v>
      </c>
      <c r="E63" s="22">
        <v>1500000</v>
      </c>
      <c r="F63" s="22">
        <v>30</v>
      </c>
      <c r="G63" s="22">
        <f t="shared" ref="G63" si="39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89" si="40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64"/>
      <c r="X63" s="23">
        <f t="shared" si="4"/>
        <v>1380000</v>
      </c>
    </row>
    <row r="64" spans="1:27" x14ac:dyDescent="0.25">
      <c r="A64" s="235"/>
      <c r="B64" s="26">
        <v>24</v>
      </c>
      <c r="C64" s="30" t="s">
        <v>122</v>
      </c>
      <c r="D64" s="26" t="s">
        <v>32</v>
      </c>
      <c r="E64" s="22">
        <v>1500000</v>
      </c>
      <c r="F64" s="22">
        <v>30</v>
      </c>
      <c r="G64" s="22">
        <f>+E64/30*F64</f>
        <v>1500000</v>
      </c>
      <c r="H64" s="22"/>
      <c r="I64" s="22">
        <v>500000</v>
      </c>
      <c r="J64" s="22"/>
      <c r="K64" s="22">
        <f t="shared" si="12"/>
        <v>2000000</v>
      </c>
      <c r="L64" s="22">
        <v>60000</v>
      </c>
      <c r="M64" s="22">
        <v>60000</v>
      </c>
      <c r="N64" s="22"/>
      <c r="O64" s="22">
        <v>16700</v>
      </c>
      <c r="P64" s="22">
        <v>0</v>
      </c>
      <c r="Q64" s="22"/>
      <c r="R64" s="22"/>
      <c r="S64" s="22"/>
      <c r="T64" s="22">
        <f t="shared" si="18"/>
        <v>136700</v>
      </c>
      <c r="U64" s="23">
        <f>K64-T64</f>
        <v>1863300</v>
      </c>
      <c r="V64" s="23"/>
      <c r="W64" s="64"/>
      <c r="X64" s="23">
        <f>U64+V64-W64</f>
        <v>1863300</v>
      </c>
    </row>
    <row r="65" spans="1:25" ht="20.25" customHeight="1" x14ac:dyDescent="0.25">
      <c r="A65" s="235"/>
      <c r="B65" s="26">
        <v>25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41">+E65/30*F65</f>
        <v>3000000</v>
      </c>
      <c r="H65" s="22"/>
      <c r="I65" s="22"/>
      <c r="J65" s="22"/>
      <c r="K65" s="22">
        <f t="shared" si="12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42">+K65-T65</f>
        <v>1927366</v>
      </c>
      <c r="V65" s="23"/>
      <c r="W65" s="64"/>
      <c r="X65" s="23">
        <f t="shared" ref="X65" si="43">U65+V65-W65</f>
        <v>1927366</v>
      </c>
    </row>
    <row r="66" spans="1:25" ht="18" customHeight="1" x14ac:dyDescent="0.25">
      <c r="A66" s="235"/>
      <c r="B66" s="26">
        <v>26</v>
      </c>
      <c r="C66" s="19" t="s">
        <v>124</v>
      </c>
      <c r="D66" s="20" t="s">
        <v>32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42"/>
        <v>1480000</v>
      </c>
      <c r="V66" s="23"/>
      <c r="W66" s="64"/>
      <c r="X66" s="23">
        <f t="shared" si="4"/>
        <v>1480000</v>
      </c>
    </row>
    <row r="67" spans="1:25" x14ac:dyDescent="0.25">
      <c r="A67" s="235"/>
      <c r="B67" s="26">
        <v>27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5" si="44">+E67/30*F67</f>
        <v>3250000</v>
      </c>
      <c r="H67" s="22"/>
      <c r="I67" s="22"/>
      <c r="J67" s="22"/>
      <c r="K67" s="22">
        <f t="shared" si="12"/>
        <v>3250000</v>
      </c>
      <c r="L67" s="22">
        <f t="shared" ref="L67:L89" si="45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18"/>
        <v>292500</v>
      </c>
      <c r="U67" s="23">
        <f t="shared" si="42"/>
        <v>2957500</v>
      </c>
      <c r="V67" s="23"/>
      <c r="W67" s="64"/>
      <c r="X67" s="23">
        <f t="shared" si="4"/>
        <v>2957500</v>
      </c>
      <c r="Y67" s="65" t="s">
        <v>130</v>
      </c>
    </row>
    <row r="68" spans="1:25" x14ac:dyDescent="0.25">
      <c r="A68" s="235"/>
      <c r="B68" s="26">
        <v>28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44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42"/>
        <v>1714000</v>
      </c>
      <c r="V68" s="23"/>
      <c r="W68" s="64"/>
      <c r="X68" s="23">
        <f t="shared" ref="X68:X92" si="46">U68+V68-W68</f>
        <v>1714000</v>
      </c>
    </row>
    <row r="69" spans="1:25" x14ac:dyDescent="0.25">
      <c r="A69" s="235"/>
      <c r="B69" s="26">
        <v>29</v>
      </c>
      <c r="C69" s="19" t="s">
        <v>133</v>
      </c>
      <c r="D69" s="20" t="s">
        <v>32</v>
      </c>
      <c r="E69" s="22">
        <v>1800000</v>
      </c>
      <c r="F69" s="22">
        <v>30</v>
      </c>
      <c r="G69" s="22">
        <f t="shared" si="44"/>
        <v>1800000</v>
      </c>
      <c r="H69" s="22"/>
      <c r="I69" s="22"/>
      <c r="J69" s="22"/>
      <c r="K69" s="22">
        <f t="shared" si="12"/>
        <v>1800000</v>
      </c>
      <c r="L69" s="22">
        <v>72000</v>
      </c>
      <c r="M69" s="22">
        <v>72000</v>
      </c>
      <c r="N69" s="22"/>
      <c r="O69" s="22">
        <v>62400</v>
      </c>
      <c r="P69" s="25">
        <v>0</v>
      </c>
      <c r="Q69" s="22"/>
      <c r="R69" s="22"/>
      <c r="S69" s="22"/>
      <c r="T69" s="22">
        <f t="shared" si="18"/>
        <v>206400</v>
      </c>
      <c r="U69" s="23">
        <f t="shared" si="42"/>
        <v>1593600</v>
      </c>
      <c r="V69" s="23"/>
      <c r="W69" s="64"/>
      <c r="X69" s="23">
        <f t="shared" si="46"/>
        <v>1593600</v>
      </c>
    </row>
    <row r="70" spans="1:25" x14ac:dyDescent="0.25">
      <c r="A70" s="235"/>
      <c r="B70" s="26">
        <v>30</v>
      </c>
      <c r="C70" s="19" t="s">
        <v>135</v>
      </c>
      <c r="D70" s="20" t="s">
        <v>32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>
        <f>36900+39100</f>
        <v>76000</v>
      </c>
      <c r="P70" s="22">
        <v>0</v>
      </c>
      <c r="Q70" s="22"/>
      <c r="R70" s="22"/>
      <c r="S70" s="22">
        <v>257196</v>
      </c>
      <c r="T70" s="22">
        <f t="shared" si="18"/>
        <v>477196</v>
      </c>
      <c r="U70" s="23">
        <f t="shared" si="42"/>
        <v>1322804</v>
      </c>
      <c r="V70" s="23"/>
      <c r="W70" s="64"/>
      <c r="X70" s="23">
        <f t="shared" si="46"/>
        <v>1322804</v>
      </c>
    </row>
    <row r="71" spans="1:25" x14ac:dyDescent="0.25">
      <c r="A71" s="235"/>
      <c r="B71" s="26">
        <v>31</v>
      </c>
      <c r="C71" s="19" t="s">
        <v>189</v>
      </c>
      <c r="D71" s="20" t="s">
        <v>32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/>
      <c r="K71" s="22">
        <f t="shared" si="12"/>
        <v>4500000</v>
      </c>
      <c r="L71" s="22">
        <f t="shared" ref="L71" si="47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8">SUM(L71:S71)</f>
        <v>504000</v>
      </c>
      <c r="U71" s="23">
        <f t="shared" si="42"/>
        <v>3996000</v>
      </c>
      <c r="V71" s="23"/>
      <c r="W71" s="64"/>
      <c r="X71" s="23">
        <f t="shared" si="46"/>
        <v>3996000</v>
      </c>
    </row>
    <row r="72" spans="1:25" x14ac:dyDescent="0.25">
      <c r="A72" s="235"/>
      <c r="B72" s="26">
        <v>32</v>
      </c>
      <c r="C72" s="19" t="s">
        <v>137</v>
      </c>
      <c r="D72" s="20" t="s">
        <v>32</v>
      </c>
      <c r="E72" s="22">
        <v>1000000</v>
      </c>
      <c r="F72" s="22">
        <v>30</v>
      </c>
      <c r="G72" s="22">
        <f t="shared" ref="G72" si="49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5"/>
        <v>40000.000000000007</v>
      </c>
      <c r="M72" s="22">
        <f t="shared" si="40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42"/>
        <v>997700</v>
      </c>
      <c r="V72" s="23"/>
      <c r="W72" s="64"/>
      <c r="X72" s="23">
        <f t="shared" si="46"/>
        <v>997700</v>
      </c>
    </row>
    <row r="73" spans="1:25" ht="24" x14ac:dyDescent="0.25">
      <c r="A73" s="235"/>
      <c r="B73" s="26">
        <v>33</v>
      </c>
      <c r="C73" s="19" t="s">
        <v>138</v>
      </c>
      <c r="D73" s="20" t="s">
        <v>32</v>
      </c>
      <c r="E73" s="22">
        <v>4500000</v>
      </c>
      <c r="F73" s="22">
        <v>25</v>
      </c>
      <c r="G73" s="22">
        <f t="shared" si="44"/>
        <v>3750000</v>
      </c>
      <c r="H73" s="22"/>
      <c r="I73" s="22"/>
      <c r="J73" s="22">
        <v>750000</v>
      </c>
      <c r="K73" s="22">
        <f t="shared" si="12"/>
        <v>4500000</v>
      </c>
      <c r="L73" s="22">
        <f t="shared" si="45"/>
        <v>150000</v>
      </c>
      <c r="M73" s="22">
        <v>225000</v>
      </c>
      <c r="N73" s="22"/>
      <c r="O73" s="22">
        <v>89000</v>
      </c>
      <c r="P73" s="22">
        <v>73073</v>
      </c>
      <c r="Q73" s="22"/>
      <c r="R73" s="22"/>
      <c r="S73" s="22"/>
      <c r="T73" s="22">
        <f>SUM(L73:S73)</f>
        <v>537073</v>
      </c>
      <c r="U73" s="23">
        <f>K73-T73</f>
        <v>3962927</v>
      </c>
      <c r="V73" s="23"/>
      <c r="W73" s="64"/>
      <c r="X73" s="23">
        <f t="shared" si="46"/>
        <v>3962927</v>
      </c>
    </row>
    <row r="74" spans="1:25" x14ac:dyDescent="0.25">
      <c r="A74" s="235"/>
      <c r="B74" s="26">
        <v>34</v>
      </c>
      <c r="C74" s="19" t="s">
        <v>142</v>
      </c>
      <c r="D74" s="20" t="s">
        <v>32</v>
      </c>
      <c r="E74" s="22">
        <v>2500000</v>
      </c>
      <c r="F74" s="22">
        <v>30</v>
      </c>
      <c r="G74" s="22">
        <f t="shared" si="44"/>
        <v>2500000</v>
      </c>
      <c r="H74" s="22"/>
      <c r="I74" s="22">
        <v>500000</v>
      </c>
      <c r="J74" s="22"/>
      <c r="K74" s="22">
        <f t="shared" si="12"/>
        <v>3000000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2800000</v>
      </c>
      <c r="V74" s="23"/>
      <c r="W74" s="64"/>
      <c r="X74" s="23">
        <f t="shared" si="46"/>
        <v>2800000</v>
      </c>
    </row>
    <row r="75" spans="1:25" ht="24" x14ac:dyDescent="0.25">
      <c r="A75" s="235"/>
      <c r="B75" s="26">
        <v>35</v>
      </c>
      <c r="C75" s="19" t="s">
        <v>140</v>
      </c>
      <c r="D75" s="20" t="s">
        <v>32</v>
      </c>
      <c r="E75" s="22">
        <v>2548000</v>
      </c>
      <c r="F75" s="22">
        <v>30</v>
      </c>
      <c r="G75" s="22">
        <f t="shared" si="44"/>
        <v>2548000</v>
      </c>
      <c r="H75" s="22"/>
      <c r="I75" s="22"/>
      <c r="J75" s="22"/>
      <c r="K75" s="22">
        <f t="shared" si="12"/>
        <v>2548000</v>
      </c>
      <c r="L75" s="22">
        <f t="shared" si="45"/>
        <v>101920</v>
      </c>
      <c r="M75" s="22">
        <f t="shared" si="40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64"/>
      <c r="X75" s="23">
        <f t="shared" si="46"/>
        <v>2344160</v>
      </c>
    </row>
    <row r="76" spans="1:25" x14ac:dyDescent="0.25">
      <c r="A76" s="235"/>
      <c r="B76" s="26">
        <v>36</v>
      </c>
      <c r="C76" s="30" t="s">
        <v>144</v>
      </c>
      <c r="D76" s="26" t="s">
        <v>32</v>
      </c>
      <c r="E76" s="22">
        <v>344727</v>
      </c>
      <c r="F76" s="22">
        <v>30</v>
      </c>
      <c r="G76" s="22">
        <f>+E76/30*F76</f>
        <v>344727</v>
      </c>
      <c r="H76" s="22">
        <v>77700</v>
      </c>
      <c r="I76" s="22"/>
      <c r="J76" s="22">
        <v>96957</v>
      </c>
      <c r="K76" s="22">
        <f t="shared" si="12"/>
        <v>519384</v>
      </c>
      <c r="L76" s="22">
        <f t="shared" si="45"/>
        <v>13789.08</v>
      </c>
      <c r="M76" s="22">
        <f t="shared" si="40"/>
        <v>13789.08</v>
      </c>
      <c r="N76" s="22"/>
      <c r="O76" s="22"/>
      <c r="P76" s="22">
        <v>0</v>
      </c>
      <c r="Q76" s="22"/>
      <c r="R76" s="22"/>
      <c r="S76" s="22"/>
      <c r="T76" s="22">
        <f t="shared" si="18"/>
        <v>27578.16</v>
      </c>
      <c r="U76" s="23">
        <f>K76-T76</f>
        <v>491805.84</v>
      </c>
      <c r="V76" s="23"/>
      <c r="W76" s="64"/>
      <c r="X76" s="23">
        <f t="shared" si="46"/>
        <v>491805.84</v>
      </c>
    </row>
    <row r="77" spans="1:25" x14ac:dyDescent="0.25">
      <c r="A77" s="235"/>
      <c r="B77" s="26">
        <v>37</v>
      </c>
      <c r="C77" s="19" t="s">
        <v>146</v>
      </c>
      <c r="D77" s="20" t="s">
        <v>32</v>
      </c>
      <c r="E77" s="22">
        <v>15400000</v>
      </c>
      <c r="F77" s="22">
        <v>30</v>
      </c>
      <c r="G77" s="22">
        <f t="shared" ref="G77:G85" si="50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5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64"/>
      <c r="X77" s="23">
        <f t="shared" si="46"/>
        <v>5848705</v>
      </c>
    </row>
    <row r="78" spans="1:25" x14ac:dyDescent="0.25">
      <c r="A78" s="235"/>
      <c r="B78" s="26">
        <v>38</v>
      </c>
      <c r="C78" s="19" t="s">
        <v>148</v>
      </c>
      <c r="D78" s="20" t="s">
        <v>32</v>
      </c>
      <c r="E78" s="22">
        <v>4500000</v>
      </c>
      <c r="F78" s="22">
        <v>30</v>
      </c>
      <c r="G78" s="22">
        <f t="shared" si="50"/>
        <v>4500000</v>
      </c>
      <c r="H78" s="22"/>
      <c r="I78" s="22"/>
      <c r="J78" s="22"/>
      <c r="K78" s="22">
        <f t="shared" si="12"/>
        <v>4500000</v>
      </c>
      <c r="L78" s="22">
        <f t="shared" si="45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64"/>
      <c r="X78" s="23">
        <f t="shared" si="46"/>
        <v>3117456</v>
      </c>
    </row>
    <row r="79" spans="1:25" x14ac:dyDescent="0.25">
      <c r="A79" s="235"/>
      <c r="B79" s="26">
        <v>39</v>
      </c>
      <c r="C79" s="19" t="s">
        <v>150</v>
      </c>
      <c r="D79" s="20" t="s">
        <v>32</v>
      </c>
      <c r="E79" s="22">
        <v>1000000</v>
      </c>
      <c r="F79" s="22">
        <v>30</v>
      </c>
      <c r="G79" s="22">
        <f t="shared" si="50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5"/>
        <v>40000.000000000007</v>
      </c>
      <c r="M79" s="22">
        <f t="shared" si="40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64"/>
      <c r="X79" s="23">
        <f t="shared" si="46"/>
        <v>997700</v>
      </c>
    </row>
    <row r="80" spans="1:25" x14ac:dyDescent="0.25">
      <c r="A80" s="235"/>
      <c r="B80" s="26">
        <v>40</v>
      </c>
      <c r="C80" s="30" t="s">
        <v>152</v>
      </c>
      <c r="D80" s="26" t="s">
        <v>32</v>
      </c>
      <c r="E80" s="22">
        <v>1500000</v>
      </c>
      <c r="F80" s="22">
        <v>30</v>
      </c>
      <c r="G80" s="22">
        <f t="shared" si="50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64"/>
      <c r="X80" s="23">
        <f t="shared" si="46"/>
        <v>1380000</v>
      </c>
    </row>
    <row r="81" spans="1:24" x14ac:dyDescent="0.25">
      <c r="A81" s="235"/>
      <c r="B81" s="26">
        <v>41</v>
      </c>
      <c r="C81" s="30" t="s">
        <v>184</v>
      </c>
      <c r="D81" s="26" t="s">
        <v>32</v>
      </c>
      <c r="E81" s="22">
        <v>689455</v>
      </c>
      <c r="F81" s="22">
        <v>30</v>
      </c>
      <c r="G81" s="22">
        <f t="shared" si="50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/>
      <c r="P81" s="22"/>
      <c r="Q81" s="22"/>
      <c r="R81" s="22"/>
      <c r="S81" s="22"/>
      <c r="T81" s="22">
        <f t="shared" si="18"/>
        <v>0</v>
      </c>
      <c r="U81" s="23">
        <f>K81-T81</f>
        <v>689455</v>
      </c>
      <c r="V81" s="23"/>
      <c r="W81" s="64"/>
      <c r="X81" s="23">
        <f t="shared" si="46"/>
        <v>689455</v>
      </c>
    </row>
    <row r="82" spans="1:24" x14ac:dyDescent="0.25">
      <c r="A82" s="235"/>
      <c r="B82" s="26">
        <v>42</v>
      </c>
      <c r="C82" s="30" t="s">
        <v>197</v>
      </c>
      <c r="D82" s="26" t="s">
        <v>32</v>
      </c>
      <c r="E82" s="22">
        <v>689455</v>
      </c>
      <c r="F82" s="22">
        <v>30</v>
      </c>
      <c r="G82" s="22">
        <f t="shared" si="50"/>
        <v>689455</v>
      </c>
      <c r="H82" s="22"/>
      <c r="I82" s="22"/>
      <c r="J82" s="22"/>
      <c r="K82" s="22">
        <f t="shared" ref="K82" si="51">SUM(G82:I82)+J82</f>
        <v>689455</v>
      </c>
      <c r="L82" s="22">
        <v>0</v>
      </c>
      <c r="M82" s="22"/>
      <c r="N82" s="22"/>
      <c r="O82" s="22"/>
      <c r="P82" s="22"/>
      <c r="Q82" s="22"/>
      <c r="R82" s="22"/>
      <c r="S82" s="22"/>
      <c r="T82" s="22">
        <f t="shared" ref="T82" si="52">SUM(L82:S82)</f>
        <v>0</v>
      </c>
      <c r="U82" s="23">
        <f>K82-T82</f>
        <v>689455</v>
      </c>
      <c r="V82" s="23"/>
      <c r="W82" s="64"/>
      <c r="X82" s="23">
        <f t="shared" si="46"/>
        <v>689455</v>
      </c>
    </row>
    <row r="83" spans="1:24" ht="24" x14ac:dyDescent="0.25">
      <c r="A83" s="235"/>
      <c r="B83" s="26">
        <v>43</v>
      </c>
      <c r="C83" s="19" t="s">
        <v>175</v>
      </c>
      <c r="D83" s="20" t="s">
        <v>32</v>
      </c>
      <c r="E83" s="22">
        <v>2000000</v>
      </c>
      <c r="F83" s="22">
        <v>30</v>
      </c>
      <c r="G83" s="22">
        <f t="shared" si="50"/>
        <v>2000000.0000000002</v>
      </c>
      <c r="H83" s="22"/>
      <c r="I83" s="22"/>
      <c r="J83" s="22"/>
      <c r="K83" s="22">
        <f t="shared" si="12"/>
        <v>2000000.0000000002</v>
      </c>
      <c r="L83" s="22">
        <f t="shared" si="45"/>
        <v>80000.000000000015</v>
      </c>
      <c r="M83" s="22">
        <f t="shared" si="40"/>
        <v>80000.000000000015</v>
      </c>
      <c r="N83" s="22"/>
      <c r="O83" s="22">
        <v>72800</v>
      </c>
      <c r="P83" s="22"/>
      <c r="Q83" s="22"/>
      <c r="R83" s="22"/>
      <c r="S83" s="22"/>
      <c r="T83" s="22">
        <f t="shared" si="18"/>
        <v>232800.00000000003</v>
      </c>
      <c r="U83" s="23">
        <f>+K83-T83</f>
        <v>1767200.0000000002</v>
      </c>
      <c r="V83" s="23"/>
      <c r="W83" s="64"/>
      <c r="X83" s="23">
        <f t="shared" si="46"/>
        <v>1767200.0000000002</v>
      </c>
    </row>
    <row r="84" spans="1:24" ht="24" x14ac:dyDescent="0.25">
      <c r="A84" s="235"/>
      <c r="B84" s="26">
        <v>44</v>
      </c>
      <c r="C84" s="19" t="s">
        <v>88</v>
      </c>
      <c r="D84" s="20" t="s">
        <v>32</v>
      </c>
      <c r="E84" s="22">
        <v>3700000</v>
      </c>
      <c r="F84" s="22">
        <v>30</v>
      </c>
      <c r="G84" s="22">
        <f t="shared" si="50"/>
        <v>3700000</v>
      </c>
      <c r="H84" s="22"/>
      <c r="I84" s="22">
        <v>650000</v>
      </c>
      <c r="J84" s="22"/>
      <c r="K84" s="22">
        <f t="shared" ref="K84" si="53">SUM(G84:I84)+J84</f>
        <v>4350000</v>
      </c>
      <c r="L84" s="22">
        <f t="shared" si="45"/>
        <v>148000</v>
      </c>
      <c r="M84" s="22">
        <f>+G84*5%</f>
        <v>185000</v>
      </c>
      <c r="N84" s="22"/>
      <c r="O84" s="22"/>
      <c r="P84" s="22">
        <v>35000</v>
      </c>
      <c r="Q84" s="22"/>
      <c r="R84" s="22"/>
      <c r="S84" s="22"/>
      <c r="T84" s="22">
        <f t="shared" ref="T84" si="54">SUM(L84:S84)</f>
        <v>368000</v>
      </c>
      <c r="U84" s="23">
        <f>+K84-T84</f>
        <v>3982000</v>
      </c>
      <c r="V84" s="23"/>
      <c r="W84" s="64"/>
      <c r="X84" s="23">
        <f t="shared" si="46"/>
        <v>3982000</v>
      </c>
    </row>
    <row r="85" spans="1:24" x14ac:dyDescent="0.25">
      <c r="A85" s="235"/>
      <c r="B85" s="26">
        <v>45</v>
      </c>
      <c r="C85" s="19" t="s">
        <v>154</v>
      </c>
      <c r="D85" s="20" t="s">
        <v>105</v>
      </c>
      <c r="E85" s="22">
        <v>1400000</v>
      </c>
      <c r="F85" s="22">
        <v>30</v>
      </c>
      <c r="G85" s="22">
        <f t="shared" si="50"/>
        <v>1400000</v>
      </c>
      <c r="H85" s="22"/>
      <c r="I85" s="22"/>
      <c r="J85" s="22"/>
      <c r="K85" s="22">
        <f t="shared" si="12"/>
        <v>1400000</v>
      </c>
      <c r="L85" s="22">
        <v>56000</v>
      </c>
      <c r="M85" s="22">
        <v>56000</v>
      </c>
      <c r="N85" s="22"/>
      <c r="O85" s="22"/>
      <c r="P85" s="25"/>
      <c r="Q85" s="22"/>
      <c r="R85" s="22"/>
      <c r="S85" s="22"/>
      <c r="T85" s="22">
        <f t="shared" si="18"/>
        <v>112000</v>
      </c>
      <c r="U85" s="23">
        <f>+K85-T85</f>
        <v>1288000</v>
      </c>
      <c r="V85" s="23"/>
      <c r="W85" s="64"/>
      <c r="X85" s="23">
        <f t="shared" si="46"/>
        <v>1288000</v>
      </c>
    </row>
    <row r="86" spans="1:24" x14ac:dyDescent="0.25">
      <c r="A86" s="235"/>
      <c r="B86" s="26">
        <v>46</v>
      </c>
      <c r="C86" s="30" t="s">
        <v>159</v>
      </c>
      <c r="D86" s="26" t="s">
        <v>32</v>
      </c>
      <c r="E86" s="22">
        <v>1300000</v>
      </c>
      <c r="F86" s="22">
        <v>30</v>
      </c>
      <c r="G86" s="22">
        <f>+E86/30*F86</f>
        <v>1300000</v>
      </c>
      <c r="H86" s="22">
        <v>77700</v>
      </c>
      <c r="I86" s="22"/>
      <c r="J86" s="22"/>
      <c r="K86" s="22">
        <f t="shared" si="12"/>
        <v>1377700</v>
      </c>
      <c r="L86" s="22">
        <f t="shared" si="45"/>
        <v>52000</v>
      </c>
      <c r="M86" s="22">
        <f t="shared" si="40"/>
        <v>52000</v>
      </c>
      <c r="N86" s="22"/>
      <c r="O86" s="22"/>
      <c r="P86" s="22">
        <v>0</v>
      </c>
      <c r="Q86" s="22"/>
      <c r="R86" s="22"/>
      <c r="S86" s="22">
        <v>249127</v>
      </c>
      <c r="T86" s="22">
        <f t="shared" si="18"/>
        <v>353127</v>
      </c>
      <c r="U86" s="23">
        <f>K86-T86</f>
        <v>1024573</v>
      </c>
      <c r="V86" s="23"/>
      <c r="W86" s="64"/>
      <c r="X86" s="23">
        <f t="shared" si="46"/>
        <v>1024573</v>
      </c>
    </row>
    <row r="87" spans="1:24" x14ac:dyDescent="0.25">
      <c r="A87" s="235"/>
      <c r="B87" s="26">
        <v>47</v>
      </c>
      <c r="C87" s="19" t="s">
        <v>161</v>
      </c>
      <c r="D87" s="20" t="s">
        <v>32</v>
      </c>
      <c r="E87" s="22">
        <v>689455</v>
      </c>
      <c r="F87" s="22">
        <v>30</v>
      </c>
      <c r="G87" s="22">
        <f>+E87/30*F87</f>
        <v>689455</v>
      </c>
      <c r="H87" s="22">
        <v>77700</v>
      </c>
      <c r="I87" s="22"/>
      <c r="J87" s="22"/>
      <c r="K87" s="22">
        <f t="shared" si="12"/>
        <v>767155</v>
      </c>
      <c r="L87" s="22">
        <f t="shared" si="45"/>
        <v>27578.2</v>
      </c>
      <c r="M87" s="22">
        <f t="shared" si="40"/>
        <v>27578.2</v>
      </c>
      <c r="N87" s="22"/>
      <c r="O87" s="22"/>
      <c r="P87" s="22">
        <v>0</v>
      </c>
      <c r="Q87" s="22"/>
      <c r="R87" s="22"/>
      <c r="S87" s="22"/>
      <c r="T87" s="22">
        <f t="shared" si="18"/>
        <v>55156.4</v>
      </c>
      <c r="U87" s="23">
        <f>+K87-T87</f>
        <v>711998.6</v>
      </c>
      <c r="V87" s="23"/>
      <c r="W87" s="64"/>
      <c r="X87" s="23">
        <f t="shared" si="46"/>
        <v>711998.6</v>
      </c>
    </row>
    <row r="88" spans="1:24" ht="24" x14ac:dyDescent="0.25">
      <c r="A88" s="235"/>
      <c r="B88" s="26">
        <v>48</v>
      </c>
      <c r="C88" s="19" t="s">
        <v>163</v>
      </c>
      <c r="D88" s="20" t="s">
        <v>32</v>
      </c>
      <c r="E88" s="22">
        <v>1200000</v>
      </c>
      <c r="F88" s="22">
        <v>30</v>
      </c>
      <c r="G88" s="22">
        <f>+E88/30*F88</f>
        <v>1200000</v>
      </c>
      <c r="H88" s="22">
        <v>77700</v>
      </c>
      <c r="I88" s="22"/>
      <c r="J88" s="22"/>
      <c r="K88" s="22">
        <f t="shared" si="12"/>
        <v>1277700</v>
      </c>
      <c r="L88" s="22">
        <v>48000</v>
      </c>
      <c r="M88" s="22">
        <v>48000</v>
      </c>
      <c r="N88" s="22"/>
      <c r="O88" s="22"/>
      <c r="P88" s="22">
        <v>0</v>
      </c>
      <c r="Q88" s="22"/>
      <c r="R88" s="22"/>
      <c r="S88" s="22"/>
      <c r="T88" s="22">
        <f t="shared" si="18"/>
        <v>96000</v>
      </c>
      <c r="U88" s="23">
        <f>+K88-T88</f>
        <v>1181700</v>
      </c>
      <c r="V88" s="23"/>
      <c r="W88" s="64"/>
      <c r="X88" s="23">
        <f t="shared" si="46"/>
        <v>1181700</v>
      </c>
    </row>
    <row r="89" spans="1:24" ht="18.75" customHeight="1" x14ac:dyDescent="0.25">
      <c r="A89" s="72"/>
      <c r="B89" s="26">
        <v>49</v>
      </c>
      <c r="C89" s="19" t="s">
        <v>165</v>
      </c>
      <c r="D89" s="20" t="s">
        <v>32</v>
      </c>
      <c r="E89" s="22">
        <v>1300000</v>
      </c>
      <c r="F89" s="22">
        <v>30</v>
      </c>
      <c r="G89" s="22">
        <f t="shared" ref="G89:G92" si="55">+E89/30*F89</f>
        <v>1300000</v>
      </c>
      <c r="H89" s="22">
        <v>77700</v>
      </c>
      <c r="I89" s="22"/>
      <c r="J89" s="22"/>
      <c r="K89" s="22">
        <f t="shared" si="12"/>
        <v>1377700</v>
      </c>
      <c r="L89" s="22">
        <f t="shared" si="45"/>
        <v>52000</v>
      </c>
      <c r="M89" s="22">
        <f t="shared" si="40"/>
        <v>52000</v>
      </c>
      <c r="N89" s="22"/>
      <c r="O89" s="22"/>
      <c r="P89" s="22"/>
      <c r="Q89" s="22"/>
      <c r="R89" s="22"/>
      <c r="S89" s="22"/>
      <c r="T89" s="22">
        <f t="shared" si="18"/>
        <v>104000</v>
      </c>
      <c r="U89" s="23">
        <f>+K89-T89</f>
        <v>1273700</v>
      </c>
      <c r="V89" s="23"/>
      <c r="W89" s="64"/>
      <c r="X89" s="23">
        <f t="shared" si="46"/>
        <v>1273700</v>
      </c>
    </row>
    <row r="90" spans="1:24" ht="24" x14ac:dyDescent="0.25">
      <c r="A90" s="72"/>
      <c r="B90" s="26">
        <v>50</v>
      </c>
      <c r="C90" s="19" t="s">
        <v>168</v>
      </c>
      <c r="D90" s="20" t="s">
        <v>32</v>
      </c>
      <c r="E90" s="22">
        <v>689455</v>
      </c>
      <c r="F90" s="22">
        <v>30</v>
      </c>
      <c r="G90" s="22">
        <f t="shared" si="55"/>
        <v>689455</v>
      </c>
      <c r="H90" s="22"/>
      <c r="I90" s="22"/>
      <c r="J90" s="22"/>
      <c r="K90" s="22">
        <f t="shared" si="12"/>
        <v>689455</v>
      </c>
      <c r="L90" s="22"/>
      <c r="M90" s="22"/>
      <c r="N90" s="22"/>
      <c r="O90" s="22"/>
      <c r="P90" s="22">
        <v>0</v>
      </c>
      <c r="Q90" s="22"/>
      <c r="R90" s="22"/>
      <c r="S90" s="22"/>
      <c r="T90" s="22">
        <f t="shared" si="18"/>
        <v>0</v>
      </c>
      <c r="U90" s="23">
        <f>K90-T90</f>
        <v>689455</v>
      </c>
      <c r="V90" s="23"/>
      <c r="W90" s="64"/>
      <c r="X90" s="23">
        <f t="shared" si="46"/>
        <v>689455</v>
      </c>
    </row>
    <row r="91" spans="1:24" ht="24" x14ac:dyDescent="0.25">
      <c r="A91" s="72"/>
      <c r="B91" s="26">
        <v>51</v>
      </c>
      <c r="C91" s="19" t="s">
        <v>176</v>
      </c>
      <c r="D91" s="20" t="s">
        <v>32</v>
      </c>
      <c r="E91" s="22">
        <v>4000000</v>
      </c>
      <c r="F91" s="22">
        <v>30</v>
      </c>
      <c r="G91" s="22">
        <f t="shared" si="55"/>
        <v>4000000.0000000005</v>
      </c>
      <c r="H91" s="22"/>
      <c r="I91" s="22"/>
      <c r="J91" s="22"/>
      <c r="K91" s="22">
        <f t="shared" ref="K91" si="56">SUM(G91:I91)+J91</f>
        <v>4000000.0000000005</v>
      </c>
      <c r="L91" s="22">
        <f t="shared" ref="L91" si="57">+G91*4%</f>
        <v>160000.00000000003</v>
      </c>
      <c r="M91" s="22">
        <f>+G91*5%</f>
        <v>200000.00000000003</v>
      </c>
      <c r="N91" s="22"/>
      <c r="O91" s="22"/>
      <c r="P91" s="22">
        <v>31064</v>
      </c>
      <c r="Q91" s="22"/>
      <c r="R91" s="22"/>
      <c r="S91" s="22"/>
      <c r="T91" s="22">
        <f t="shared" si="18"/>
        <v>391064.00000000006</v>
      </c>
      <c r="U91" s="23">
        <f>+K91-T91</f>
        <v>3608936.0000000005</v>
      </c>
      <c r="V91" s="23"/>
      <c r="W91" s="64"/>
      <c r="X91" s="23">
        <f t="shared" si="46"/>
        <v>3608936.0000000005</v>
      </c>
    </row>
    <row r="92" spans="1:24" ht="24.75" customHeight="1" x14ac:dyDescent="0.25">
      <c r="A92" s="72"/>
      <c r="B92" s="26">
        <v>52</v>
      </c>
      <c r="C92" s="19" t="s">
        <v>166</v>
      </c>
      <c r="D92" s="20" t="s">
        <v>32</v>
      </c>
      <c r="E92" s="22">
        <v>2500000</v>
      </c>
      <c r="F92" s="22">
        <v>30</v>
      </c>
      <c r="G92" s="22">
        <f t="shared" si="55"/>
        <v>2500000</v>
      </c>
      <c r="H92" s="22"/>
      <c r="I92" s="22"/>
      <c r="J92" s="22"/>
      <c r="K92" s="22">
        <f t="shared" si="12"/>
        <v>2500000</v>
      </c>
      <c r="L92" s="22">
        <v>100000</v>
      </c>
      <c r="M92" s="22">
        <v>100000</v>
      </c>
      <c r="N92" s="22"/>
      <c r="O92" s="22">
        <v>40900</v>
      </c>
      <c r="P92" s="22">
        <v>0</v>
      </c>
      <c r="Q92" s="22"/>
      <c r="R92" s="22"/>
      <c r="S92" s="22"/>
      <c r="T92" s="22">
        <f t="shared" si="18"/>
        <v>240900</v>
      </c>
      <c r="U92" s="23">
        <f>K92-T92</f>
        <v>2259100</v>
      </c>
      <c r="V92" s="23"/>
      <c r="W92" s="64"/>
      <c r="X92" s="23">
        <f t="shared" si="46"/>
        <v>2259100</v>
      </c>
    </row>
    <row r="93" spans="1:24" x14ac:dyDescent="0.25">
      <c r="A93" s="26"/>
      <c r="B93" s="26"/>
      <c r="C93" s="19" t="s">
        <v>169</v>
      </c>
      <c r="D93" s="26"/>
      <c r="E93" s="22">
        <f>SUM(E4:E92)</f>
        <v>272716786</v>
      </c>
      <c r="F93" s="22" t="s">
        <v>1</v>
      </c>
      <c r="G93" s="22">
        <f>SUM(G4:G92)</f>
        <v>262509231.66666669</v>
      </c>
      <c r="H93" s="22">
        <f>SUM(H5:H88)</f>
        <v>1188160</v>
      </c>
      <c r="I93" s="22">
        <f>SUM(I5:I88)</f>
        <v>13314987</v>
      </c>
      <c r="J93" s="22">
        <f>SUM(J4:J92)</f>
        <v>4200061</v>
      </c>
      <c r="K93" s="22">
        <f>SUM(K5:K88)</f>
        <v>272722984.66666669</v>
      </c>
      <c r="L93" s="22">
        <f>SUM(L5:L88)</f>
        <v>9999990.1333333328</v>
      </c>
      <c r="M93" s="22">
        <f>SUM(M5:M88)</f>
        <v>12246648.883333333</v>
      </c>
      <c r="N93" s="22">
        <f>SUM(N5:N88)</f>
        <v>102400</v>
      </c>
      <c r="O93" s="22">
        <f>SUM(O4:O92)</f>
        <v>636800</v>
      </c>
      <c r="P93" s="22">
        <f>SUM(P4:P92)</f>
        <v>3744991</v>
      </c>
      <c r="Q93" s="22">
        <f>SUM(Q5:Q88)</f>
        <v>7700000</v>
      </c>
      <c r="R93" s="22">
        <f>SUM(R5:R88)</f>
        <v>466279</v>
      </c>
      <c r="S93" s="22">
        <f>SUM(S5:S88)</f>
        <v>10505748</v>
      </c>
      <c r="T93" s="22">
        <f>SUM(T5:T88)</f>
        <v>45330893.016666666</v>
      </c>
      <c r="U93" s="23">
        <f>SUM(U4:U92)</f>
        <v>235223282.65000001</v>
      </c>
      <c r="V93" s="23">
        <f>SUM(V5:V88)</f>
        <v>0</v>
      </c>
      <c r="W93" s="64">
        <f>SUM(W5:W88)</f>
        <v>0</v>
      </c>
      <c r="X93" s="23">
        <f>SUM(X4:X92)</f>
        <v>235223282.65000001</v>
      </c>
    </row>
    <row r="94" spans="1:24" x14ac:dyDescent="0.25">
      <c r="E94" s="76"/>
      <c r="F94" s="76"/>
      <c r="G94" s="76"/>
      <c r="U94" s="77"/>
      <c r="V94" s="77"/>
      <c r="X94" s="77"/>
    </row>
    <row r="95" spans="1:24" x14ac:dyDescent="0.25">
      <c r="D95" s="7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9"/>
      <c r="V95" s="75"/>
      <c r="W95" s="80"/>
      <c r="X95" s="79"/>
    </row>
    <row r="96" spans="1:24" x14ac:dyDescent="0.25"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5"/>
      <c r="V96" s="75"/>
      <c r="W96" s="80"/>
      <c r="X96" s="79"/>
    </row>
    <row r="97" spans="2:28" x14ac:dyDescent="0.25">
      <c r="C97" s="81"/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5"/>
      <c r="V97" s="75"/>
      <c r="W97" s="80"/>
      <c r="X97" s="79"/>
    </row>
    <row r="98" spans="2:28" x14ac:dyDescent="0.25">
      <c r="C98" s="81"/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5"/>
      <c r="Y98" s="75"/>
      <c r="Z98" s="75"/>
      <c r="AA98" s="75"/>
      <c r="AB98" s="75"/>
    </row>
    <row r="99" spans="2:28" x14ac:dyDescent="0.25">
      <c r="B99" s="75"/>
      <c r="C99" s="81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76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75"/>
      <c r="Z99" s="75"/>
      <c r="AA99" s="75"/>
      <c r="AB99" s="75"/>
    </row>
    <row r="100" spans="2:28" x14ac:dyDescent="0.25">
      <c r="B100" s="75"/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5"/>
      <c r="V100" s="75"/>
      <c r="W100" s="80"/>
      <c r="X100" s="75"/>
      <c r="Y100" s="75"/>
      <c r="Z100" s="75"/>
      <c r="AA100" s="75"/>
      <c r="AB100" s="75"/>
    </row>
    <row r="101" spans="2:28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5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4"/>
      <c r="W103" s="85"/>
      <c r="X103" s="84"/>
      <c r="Y103" s="75"/>
      <c r="Z103" s="75"/>
      <c r="AA103" s="75"/>
      <c r="AB103" s="75"/>
    </row>
    <row r="104" spans="2:28" x14ac:dyDescent="0.25">
      <c r="B104" s="86"/>
      <c r="C104" s="81"/>
      <c r="D104" s="84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4"/>
      <c r="V104" s="84"/>
      <c r="W104" s="85"/>
      <c r="X104" s="84"/>
      <c r="Y104" s="75"/>
      <c r="Z104" s="75"/>
      <c r="AA104" s="75"/>
      <c r="AB104" s="75"/>
    </row>
    <row r="105" spans="2:28" x14ac:dyDescent="0.25">
      <c r="B105" s="75"/>
      <c r="C105" s="81"/>
      <c r="D105" s="75"/>
      <c r="E105" s="76"/>
      <c r="F105" s="76"/>
      <c r="G105" s="88"/>
      <c r="H105" s="76"/>
      <c r="I105" s="76"/>
      <c r="J105" s="76"/>
      <c r="K105" s="76"/>
      <c r="L105" s="76"/>
      <c r="M105" s="76"/>
      <c r="N105" s="89"/>
      <c r="O105" s="89"/>
      <c r="P105" s="89"/>
      <c r="Q105" s="89"/>
      <c r="R105" s="89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2:28" x14ac:dyDescent="0.25">
      <c r="B106" s="75"/>
      <c r="C106" s="90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4"/>
      <c r="V106" s="84"/>
      <c r="W106" s="85"/>
      <c r="X106" s="84"/>
      <c r="Y106" s="75"/>
      <c r="Z106" s="75"/>
      <c r="AA106" s="75"/>
      <c r="AB106" s="75"/>
    </row>
    <row r="107" spans="2:28" x14ac:dyDescent="0.25">
      <c r="B107" s="84"/>
      <c r="C107" s="90"/>
      <c r="D107" s="84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4"/>
      <c r="V107" s="84"/>
      <c r="W107" s="85"/>
      <c r="X107" s="84"/>
      <c r="Y107" s="75"/>
      <c r="Z107" s="75"/>
      <c r="AA107" s="75"/>
      <c r="AB107" s="75"/>
    </row>
    <row r="108" spans="2:28" x14ac:dyDescent="0.25">
      <c r="B108" s="75"/>
      <c r="C108" s="90"/>
      <c r="D108" s="8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9"/>
      <c r="V108" s="79"/>
      <c r="W108" s="80"/>
      <c r="X108" s="79"/>
      <c r="Y108" s="75"/>
      <c r="Z108" s="75"/>
      <c r="AA108" s="75"/>
      <c r="AB108" s="75"/>
    </row>
    <row r="109" spans="2:28" x14ac:dyDescent="0.25"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9"/>
      <c r="V109" s="79"/>
      <c r="W109" s="80"/>
      <c r="X109" s="79"/>
      <c r="Y109" s="75"/>
      <c r="Z109" s="75"/>
      <c r="AA109" s="75"/>
      <c r="AB109" s="75"/>
    </row>
    <row r="110" spans="2:28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2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2:28" x14ac:dyDescent="0.25">
      <c r="C114" s="81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2:28" x14ac:dyDescent="0.25">
      <c r="C115" s="90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81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5"/>
      <c r="V126" s="75"/>
      <c r="W126" s="80"/>
      <c r="X126" s="75"/>
      <c r="Y126" s="75"/>
      <c r="Z126" s="75"/>
      <c r="AA126" s="75"/>
      <c r="AB126" s="75"/>
    </row>
    <row r="127" spans="2:28" x14ac:dyDescent="0.25">
      <c r="C127" s="81"/>
      <c r="D127" s="75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75"/>
      <c r="S127" s="76"/>
      <c r="T127" s="76"/>
      <c r="U127" s="75"/>
      <c r="V127" s="75"/>
      <c r="W127" s="80"/>
      <c r="X127" s="75"/>
      <c r="Y127" s="75"/>
      <c r="Z127" s="75"/>
      <c r="AA127" s="75"/>
      <c r="AB127" s="75"/>
    </row>
    <row r="128" spans="2:28" x14ac:dyDescent="0.25">
      <c r="B128" s="75"/>
      <c r="C128" s="81"/>
      <c r="D128" s="231"/>
      <c r="E128" s="231"/>
      <c r="F128" s="231"/>
      <c r="G128" s="231"/>
      <c r="H128" s="231"/>
      <c r="I128" s="231"/>
      <c r="J128" s="231"/>
      <c r="K128" s="231"/>
      <c r="L128" s="231"/>
      <c r="M128" s="231"/>
      <c r="N128" s="231"/>
      <c r="O128" s="231"/>
      <c r="P128" s="231"/>
      <c r="Q128" s="231"/>
      <c r="R128" s="231"/>
      <c r="S128" s="231"/>
      <c r="T128" s="231"/>
      <c r="U128" s="231"/>
      <c r="V128" s="231"/>
      <c r="W128" s="231"/>
      <c r="X128" s="231"/>
      <c r="Y128" s="75"/>
      <c r="Z128" s="75"/>
      <c r="AA128" s="75"/>
      <c r="AB128" s="75"/>
    </row>
    <row r="129" spans="2:28" x14ac:dyDescent="0.25">
      <c r="B129" s="75"/>
      <c r="C129" s="81"/>
      <c r="D129" s="75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4"/>
      <c r="V129" s="84"/>
      <c r="W129" s="85"/>
      <c r="X129" s="84"/>
      <c r="Y129" s="75"/>
      <c r="Z129" s="75"/>
      <c r="AA129" s="75"/>
      <c r="AB129" s="75"/>
    </row>
    <row r="130" spans="2:28" x14ac:dyDescent="0.25">
      <c r="B130" s="75"/>
      <c r="C130" s="90"/>
      <c r="D130" s="84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4"/>
      <c r="V130" s="84"/>
      <c r="W130" s="85"/>
      <c r="X130" s="84"/>
    </row>
    <row r="131" spans="2:28" x14ac:dyDescent="0.25">
      <c r="B131" s="91"/>
      <c r="C131" s="90"/>
      <c r="D131" s="84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</row>
    <row r="132" spans="2:28" x14ac:dyDescent="0.25">
      <c r="C132" s="90"/>
      <c r="D132" s="8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</row>
    <row r="133" spans="2:28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81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5"/>
      <c r="V137" s="75"/>
      <c r="W137" s="80"/>
      <c r="X137" s="75"/>
    </row>
    <row r="138" spans="2:28" x14ac:dyDescent="0.25"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B139" s="75"/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5"/>
      <c r="V139" s="75"/>
      <c r="W139" s="80"/>
      <c r="X139" s="75"/>
    </row>
    <row r="140" spans="2:28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5"/>
      <c r="V140" s="75"/>
      <c r="W140" s="80"/>
      <c r="X140" s="75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92"/>
      <c r="V141" s="92"/>
      <c r="W141" s="80"/>
      <c r="X141" s="92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93"/>
      <c r="V142" s="93"/>
      <c r="W142" s="80"/>
      <c r="X142" s="93"/>
    </row>
    <row r="143" spans="2:28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5"/>
      <c r="V143" s="75"/>
      <c r="W143" s="80"/>
      <c r="X143" s="75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>
        <v>3003000</v>
      </c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81">
        <v>42614840</v>
      </c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>
        <v>412608</v>
      </c>
      <c r="U155" s="75"/>
      <c r="V155" s="75"/>
      <c r="W155" s="80"/>
      <c r="X155" s="75"/>
    </row>
    <row r="156" spans="3:24" x14ac:dyDescent="0.25">
      <c r="C156" s="81">
        <v>9675182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>
        <v>1880000</v>
      </c>
      <c r="U156" s="75"/>
      <c r="V156" s="75"/>
      <c r="W156" s="80"/>
      <c r="X156" s="75"/>
    </row>
    <row r="157" spans="3:24" x14ac:dyDescent="0.25">
      <c r="C157" s="81">
        <v>17903600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3:24" x14ac:dyDescent="0.25">
      <c r="C158" s="81">
        <f>SUM(C155:C157)</f>
        <v>70193622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3:24" x14ac:dyDescent="0.25">
      <c r="C159" s="81">
        <v>400000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f>+C158+C159</f>
        <v>70593622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3" spans="3:3" x14ac:dyDescent="0.25">
      <c r="C163" s="74">
        <v>64000000</v>
      </c>
    </row>
    <row r="164" spans="3:3" x14ac:dyDescent="0.25">
      <c r="C164" s="74">
        <v>11000000</v>
      </c>
    </row>
    <row r="165" spans="3:3" x14ac:dyDescent="0.25">
      <c r="C165" s="74">
        <f>+C163+C164</f>
        <v>75000000</v>
      </c>
    </row>
    <row r="169" spans="3:3" x14ac:dyDescent="0.25">
      <c r="C169" s="74">
        <v>2745000</v>
      </c>
    </row>
    <row r="170" spans="3:3" x14ac:dyDescent="0.25">
      <c r="C170" s="74">
        <v>3185000</v>
      </c>
    </row>
    <row r="171" spans="3:3" x14ac:dyDescent="0.25">
      <c r="C171" s="74">
        <v>1080000</v>
      </c>
    </row>
    <row r="172" spans="3:3" x14ac:dyDescent="0.25">
      <c r="C172" s="74">
        <v>4850100</v>
      </c>
    </row>
    <row r="173" spans="3:3" x14ac:dyDescent="0.25">
      <c r="C173" s="74">
        <v>5027500</v>
      </c>
    </row>
    <row r="174" spans="3:3" x14ac:dyDescent="0.25">
      <c r="C174" s="74">
        <v>4566000</v>
      </c>
    </row>
    <row r="175" spans="3:3" x14ac:dyDescent="0.25">
      <c r="C175" s="74">
        <v>1050000</v>
      </c>
    </row>
    <row r="176" spans="3:3" x14ac:dyDescent="0.25">
      <c r="C176" s="74">
        <v>3877333</v>
      </c>
    </row>
    <row r="177" spans="3:3" x14ac:dyDescent="0.25">
      <c r="C177" s="74">
        <v>6732440</v>
      </c>
    </row>
    <row r="178" spans="3:3" x14ac:dyDescent="0.25">
      <c r="C178" s="74">
        <v>3460000</v>
      </c>
    </row>
    <row r="179" spans="3:3" x14ac:dyDescent="0.25">
      <c r="C179" s="74">
        <v>588800</v>
      </c>
    </row>
    <row r="180" spans="3:3" x14ac:dyDescent="0.25">
      <c r="C180" s="74">
        <v>1868000</v>
      </c>
    </row>
    <row r="181" spans="3:3" x14ac:dyDescent="0.25">
      <c r="C181" s="74">
        <v>10313000</v>
      </c>
    </row>
    <row r="182" spans="3:3" x14ac:dyDescent="0.25">
      <c r="C182" s="74">
        <v>3443800</v>
      </c>
    </row>
    <row r="183" spans="3:3" x14ac:dyDescent="0.25">
      <c r="C183" s="74">
        <v>8136400</v>
      </c>
    </row>
    <row r="184" spans="3:3" x14ac:dyDescent="0.25">
      <c r="C184" s="74">
        <v>9675183</v>
      </c>
    </row>
    <row r="185" spans="3:3" x14ac:dyDescent="0.25">
      <c r="C185" s="74">
        <f>SUM(C169:C184)</f>
        <v>70598556</v>
      </c>
    </row>
  </sheetData>
  <mergeCells count="7">
    <mergeCell ref="D128:X128"/>
    <mergeCell ref="C1:U1"/>
    <mergeCell ref="E2:K2"/>
    <mergeCell ref="L2:T2"/>
    <mergeCell ref="A3:A40"/>
    <mergeCell ref="A41:A88"/>
    <mergeCell ref="E127:Q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24B-0921-41C2-BE8A-475C7B0C4D8A}">
  <dimension ref="A1:AB189"/>
  <sheetViews>
    <sheetView workbookViewId="0">
      <selection activeCell="J3" sqref="E1:J1048576"/>
    </sheetView>
  </sheetViews>
  <sheetFormatPr baseColWidth="10" defaultRowHeight="12" x14ac:dyDescent="0.25"/>
  <cols>
    <col min="1" max="1" width="10.42578125" style="16" customWidth="1"/>
    <col min="2" max="2" width="4.85546875" style="16" customWidth="1"/>
    <col min="3" max="3" width="31.42578125" style="31" customWidth="1"/>
    <col min="4" max="4" width="8.5703125" style="16" customWidth="1"/>
    <col min="5" max="5" width="10.85546875" style="34" customWidth="1"/>
    <col min="6" max="6" width="4.42578125" style="34" customWidth="1"/>
    <col min="7" max="7" width="11.28515625" style="34" customWidth="1"/>
    <col min="8" max="8" width="11" style="34" customWidth="1"/>
    <col min="9" max="9" width="10.42578125" style="34" customWidth="1"/>
    <col min="10" max="10" width="9.85546875" style="34" bestFit="1" customWidth="1"/>
    <col min="11" max="11" width="11.7109375" style="34" customWidth="1"/>
    <col min="12" max="12" width="9.85546875" style="34" customWidth="1"/>
    <col min="13" max="13" width="10.140625" style="34" customWidth="1"/>
    <col min="14" max="14" width="8.7109375" style="34" customWidth="1"/>
    <col min="15" max="15" width="17.7109375" style="34" customWidth="1"/>
    <col min="16" max="16" width="9.5703125" style="34" customWidth="1"/>
    <col min="17" max="17" width="9" style="34" customWidth="1"/>
    <col min="18" max="18" width="9.42578125" style="34" customWidth="1"/>
    <col min="19" max="19" width="9.85546875" style="34" bestFit="1" customWidth="1"/>
    <col min="20" max="20" width="10.42578125" style="34" customWidth="1"/>
    <col min="21" max="21" width="13.42578125" style="16" customWidth="1"/>
    <col min="22" max="22" width="4.42578125" style="16" customWidth="1"/>
    <col min="23" max="23" width="7.28515625" style="36" customWidth="1"/>
    <col min="24" max="24" width="14.28515625" style="16" customWidth="1"/>
    <col min="25" max="246" width="11.42578125" style="16"/>
    <col min="247" max="247" width="10.5703125" style="16" customWidth="1"/>
    <col min="248" max="248" width="4.85546875" style="16" customWidth="1"/>
    <col min="249" max="249" width="32.42578125" style="16" customWidth="1"/>
    <col min="250" max="250" width="9.85546875" style="16" customWidth="1"/>
    <col min="251" max="251" width="10.140625" style="16" customWidth="1"/>
    <col min="252" max="252" width="12.28515625" style="16" customWidth="1"/>
    <col min="253" max="253" width="15.42578125" style="16" customWidth="1"/>
    <col min="254" max="254" width="11.85546875" style="16" customWidth="1"/>
    <col min="255" max="255" width="13.28515625" style="16" customWidth="1"/>
    <col min="256" max="256" width="15.28515625" style="16" customWidth="1"/>
    <col min="257" max="257" width="11.85546875" style="16" customWidth="1"/>
    <col min="258" max="258" width="6.140625" style="16" customWidth="1"/>
    <col min="259" max="259" width="11.85546875" style="16" customWidth="1"/>
    <col min="260" max="260" width="9.42578125" style="16" customWidth="1"/>
    <col min="261" max="261" width="14.7109375" style="16" customWidth="1"/>
    <col min="262" max="262" width="11.5703125" style="16" customWidth="1"/>
    <col min="263" max="263" width="0.42578125" style="16" customWidth="1"/>
    <col min="264" max="264" width="10.5703125" style="16" bestFit="1" customWidth="1"/>
    <col min="265" max="265" width="12.28515625" style="16" customWidth="1"/>
    <col min="266" max="266" width="12.5703125" style="16" customWidth="1"/>
    <col min="267" max="267" width="10.5703125" style="16" customWidth="1"/>
    <col min="268" max="268" width="10.140625" style="16" customWidth="1"/>
    <col min="269" max="269" width="8.42578125" style="16" customWidth="1"/>
    <col min="270" max="270" width="18.85546875" style="16" customWidth="1"/>
    <col min="271" max="271" width="10.28515625" style="16" customWidth="1"/>
    <col min="272" max="272" width="11.42578125" style="16"/>
    <col min="273" max="273" width="12.140625" style="16" customWidth="1"/>
    <col min="274" max="274" width="10.5703125" style="16" customWidth="1"/>
    <col min="275" max="275" width="12.42578125" style="16" customWidth="1"/>
    <col min="276" max="276" width="15.140625" style="16" customWidth="1"/>
    <col min="277" max="277" width="13.5703125" style="16" customWidth="1"/>
    <col min="278" max="278" width="13.140625" style="16" customWidth="1"/>
    <col min="279" max="279" width="15.7109375" style="16" customWidth="1"/>
    <col min="280" max="280" width="37.5703125" style="16" customWidth="1"/>
    <col min="281" max="502" width="11.42578125" style="16"/>
    <col min="503" max="503" width="10.5703125" style="16" customWidth="1"/>
    <col min="504" max="504" width="4.85546875" style="16" customWidth="1"/>
    <col min="505" max="505" width="32.42578125" style="16" customWidth="1"/>
    <col min="506" max="506" width="9.85546875" style="16" customWidth="1"/>
    <col min="507" max="507" width="10.140625" style="16" customWidth="1"/>
    <col min="508" max="508" width="12.28515625" style="16" customWidth="1"/>
    <col min="509" max="509" width="15.42578125" style="16" customWidth="1"/>
    <col min="510" max="510" width="11.85546875" style="16" customWidth="1"/>
    <col min="511" max="511" width="13.28515625" style="16" customWidth="1"/>
    <col min="512" max="512" width="15.28515625" style="16" customWidth="1"/>
    <col min="513" max="513" width="11.85546875" style="16" customWidth="1"/>
    <col min="514" max="514" width="6.140625" style="16" customWidth="1"/>
    <col min="515" max="515" width="11.85546875" style="16" customWidth="1"/>
    <col min="516" max="516" width="9.42578125" style="16" customWidth="1"/>
    <col min="517" max="517" width="14.7109375" style="16" customWidth="1"/>
    <col min="518" max="518" width="11.5703125" style="16" customWidth="1"/>
    <col min="519" max="519" width="0.42578125" style="16" customWidth="1"/>
    <col min="520" max="520" width="10.5703125" style="16" bestFit="1" customWidth="1"/>
    <col min="521" max="521" width="12.28515625" style="16" customWidth="1"/>
    <col min="522" max="522" width="12.5703125" style="16" customWidth="1"/>
    <col min="523" max="523" width="10.5703125" style="16" customWidth="1"/>
    <col min="524" max="524" width="10.140625" style="16" customWidth="1"/>
    <col min="525" max="525" width="8.42578125" style="16" customWidth="1"/>
    <col min="526" max="526" width="18.85546875" style="16" customWidth="1"/>
    <col min="527" max="527" width="10.28515625" style="16" customWidth="1"/>
    <col min="528" max="528" width="11.42578125" style="16"/>
    <col min="529" max="529" width="12.140625" style="16" customWidth="1"/>
    <col min="530" max="530" width="10.5703125" style="16" customWidth="1"/>
    <col min="531" max="531" width="12.42578125" style="16" customWidth="1"/>
    <col min="532" max="532" width="15.140625" style="16" customWidth="1"/>
    <col min="533" max="533" width="13.5703125" style="16" customWidth="1"/>
    <col min="534" max="534" width="13.140625" style="16" customWidth="1"/>
    <col min="535" max="535" width="15.7109375" style="16" customWidth="1"/>
    <col min="536" max="536" width="37.5703125" style="16" customWidth="1"/>
    <col min="537" max="758" width="11.42578125" style="16"/>
    <col min="759" max="759" width="10.5703125" style="16" customWidth="1"/>
    <col min="760" max="760" width="4.85546875" style="16" customWidth="1"/>
    <col min="761" max="761" width="32.42578125" style="16" customWidth="1"/>
    <col min="762" max="762" width="9.85546875" style="16" customWidth="1"/>
    <col min="763" max="763" width="10.140625" style="16" customWidth="1"/>
    <col min="764" max="764" width="12.28515625" style="16" customWidth="1"/>
    <col min="765" max="765" width="15.42578125" style="16" customWidth="1"/>
    <col min="766" max="766" width="11.85546875" style="16" customWidth="1"/>
    <col min="767" max="767" width="13.28515625" style="16" customWidth="1"/>
    <col min="768" max="768" width="15.28515625" style="16" customWidth="1"/>
    <col min="769" max="769" width="11.85546875" style="16" customWidth="1"/>
    <col min="770" max="770" width="6.140625" style="16" customWidth="1"/>
    <col min="771" max="771" width="11.85546875" style="16" customWidth="1"/>
    <col min="772" max="772" width="9.42578125" style="16" customWidth="1"/>
    <col min="773" max="773" width="14.7109375" style="16" customWidth="1"/>
    <col min="774" max="774" width="11.5703125" style="16" customWidth="1"/>
    <col min="775" max="775" width="0.42578125" style="16" customWidth="1"/>
    <col min="776" max="776" width="10.5703125" style="16" bestFit="1" customWidth="1"/>
    <col min="777" max="777" width="12.28515625" style="16" customWidth="1"/>
    <col min="778" max="778" width="12.5703125" style="16" customWidth="1"/>
    <col min="779" max="779" width="10.5703125" style="16" customWidth="1"/>
    <col min="780" max="780" width="10.140625" style="16" customWidth="1"/>
    <col min="781" max="781" width="8.42578125" style="16" customWidth="1"/>
    <col min="782" max="782" width="18.85546875" style="16" customWidth="1"/>
    <col min="783" max="783" width="10.28515625" style="16" customWidth="1"/>
    <col min="784" max="784" width="11.42578125" style="16"/>
    <col min="785" max="785" width="12.140625" style="16" customWidth="1"/>
    <col min="786" max="786" width="10.5703125" style="16" customWidth="1"/>
    <col min="787" max="787" width="12.42578125" style="16" customWidth="1"/>
    <col min="788" max="788" width="15.140625" style="16" customWidth="1"/>
    <col min="789" max="789" width="13.5703125" style="16" customWidth="1"/>
    <col min="790" max="790" width="13.140625" style="16" customWidth="1"/>
    <col min="791" max="791" width="15.7109375" style="16" customWidth="1"/>
    <col min="792" max="792" width="37.5703125" style="16" customWidth="1"/>
    <col min="793" max="1014" width="11.42578125" style="16"/>
    <col min="1015" max="1015" width="10.5703125" style="16" customWidth="1"/>
    <col min="1016" max="1016" width="4.85546875" style="16" customWidth="1"/>
    <col min="1017" max="1017" width="32.42578125" style="16" customWidth="1"/>
    <col min="1018" max="1018" width="9.85546875" style="16" customWidth="1"/>
    <col min="1019" max="1019" width="10.140625" style="16" customWidth="1"/>
    <col min="1020" max="1020" width="12.28515625" style="16" customWidth="1"/>
    <col min="1021" max="1021" width="15.42578125" style="16" customWidth="1"/>
    <col min="1022" max="1022" width="11.85546875" style="16" customWidth="1"/>
    <col min="1023" max="1023" width="13.28515625" style="16" customWidth="1"/>
    <col min="1024" max="1024" width="15.28515625" style="16" customWidth="1"/>
    <col min="1025" max="1025" width="11.85546875" style="16" customWidth="1"/>
    <col min="1026" max="1026" width="6.140625" style="16" customWidth="1"/>
    <col min="1027" max="1027" width="11.85546875" style="16" customWidth="1"/>
    <col min="1028" max="1028" width="9.42578125" style="16" customWidth="1"/>
    <col min="1029" max="1029" width="14.7109375" style="16" customWidth="1"/>
    <col min="1030" max="1030" width="11.5703125" style="16" customWidth="1"/>
    <col min="1031" max="1031" width="0.42578125" style="16" customWidth="1"/>
    <col min="1032" max="1032" width="10.5703125" style="16" bestFit="1" customWidth="1"/>
    <col min="1033" max="1033" width="12.28515625" style="16" customWidth="1"/>
    <col min="1034" max="1034" width="12.5703125" style="16" customWidth="1"/>
    <col min="1035" max="1035" width="10.5703125" style="16" customWidth="1"/>
    <col min="1036" max="1036" width="10.140625" style="16" customWidth="1"/>
    <col min="1037" max="1037" width="8.42578125" style="16" customWidth="1"/>
    <col min="1038" max="1038" width="18.85546875" style="16" customWidth="1"/>
    <col min="1039" max="1039" width="10.28515625" style="16" customWidth="1"/>
    <col min="1040" max="1040" width="11.42578125" style="16"/>
    <col min="1041" max="1041" width="12.140625" style="16" customWidth="1"/>
    <col min="1042" max="1042" width="10.5703125" style="16" customWidth="1"/>
    <col min="1043" max="1043" width="12.42578125" style="16" customWidth="1"/>
    <col min="1044" max="1044" width="15.140625" style="16" customWidth="1"/>
    <col min="1045" max="1045" width="13.5703125" style="16" customWidth="1"/>
    <col min="1046" max="1046" width="13.140625" style="16" customWidth="1"/>
    <col min="1047" max="1047" width="15.7109375" style="16" customWidth="1"/>
    <col min="1048" max="1048" width="37.5703125" style="16" customWidth="1"/>
    <col min="1049" max="1270" width="11.42578125" style="16"/>
    <col min="1271" max="1271" width="10.5703125" style="16" customWidth="1"/>
    <col min="1272" max="1272" width="4.85546875" style="16" customWidth="1"/>
    <col min="1273" max="1273" width="32.42578125" style="16" customWidth="1"/>
    <col min="1274" max="1274" width="9.85546875" style="16" customWidth="1"/>
    <col min="1275" max="1275" width="10.140625" style="16" customWidth="1"/>
    <col min="1276" max="1276" width="12.28515625" style="16" customWidth="1"/>
    <col min="1277" max="1277" width="15.42578125" style="16" customWidth="1"/>
    <col min="1278" max="1278" width="11.85546875" style="16" customWidth="1"/>
    <col min="1279" max="1279" width="13.28515625" style="16" customWidth="1"/>
    <col min="1280" max="1280" width="15.28515625" style="16" customWidth="1"/>
    <col min="1281" max="1281" width="11.85546875" style="16" customWidth="1"/>
    <col min="1282" max="1282" width="6.140625" style="16" customWidth="1"/>
    <col min="1283" max="1283" width="11.85546875" style="16" customWidth="1"/>
    <col min="1284" max="1284" width="9.42578125" style="16" customWidth="1"/>
    <col min="1285" max="1285" width="14.7109375" style="16" customWidth="1"/>
    <col min="1286" max="1286" width="11.5703125" style="16" customWidth="1"/>
    <col min="1287" max="1287" width="0.42578125" style="16" customWidth="1"/>
    <col min="1288" max="1288" width="10.5703125" style="16" bestFit="1" customWidth="1"/>
    <col min="1289" max="1289" width="12.28515625" style="16" customWidth="1"/>
    <col min="1290" max="1290" width="12.5703125" style="16" customWidth="1"/>
    <col min="1291" max="1291" width="10.5703125" style="16" customWidth="1"/>
    <col min="1292" max="1292" width="10.140625" style="16" customWidth="1"/>
    <col min="1293" max="1293" width="8.42578125" style="16" customWidth="1"/>
    <col min="1294" max="1294" width="18.85546875" style="16" customWidth="1"/>
    <col min="1295" max="1295" width="10.28515625" style="16" customWidth="1"/>
    <col min="1296" max="1296" width="11.42578125" style="16"/>
    <col min="1297" max="1297" width="12.140625" style="16" customWidth="1"/>
    <col min="1298" max="1298" width="10.5703125" style="16" customWidth="1"/>
    <col min="1299" max="1299" width="12.42578125" style="16" customWidth="1"/>
    <col min="1300" max="1300" width="15.140625" style="16" customWidth="1"/>
    <col min="1301" max="1301" width="13.5703125" style="16" customWidth="1"/>
    <col min="1302" max="1302" width="13.140625" style="16" customWidth="1"/>
    <col min="1303" max="1303" width="15.7109375" style="16" customWidth="1"/>
    <col min="1304" max="1304" width="37.5703125" style="16" customWidth="1"/>
    <col min="1305" max="1526" width="11.42578125" style="16"/>
    <col min="1527" max="1527" width="10.5703125" style="16" customWidth="1"/>
    <col min="1528" max="1528" width="4.85546875" style="16" customWidth="1"/>
    <col min="1529" max="1529" width="32.42578125" style="16" customWidth="1"/>
    <col min="1530" max="1530" width="9.85546875" style="16" customWidth="1"/>
    <col min="1531" max="1531" width="10.140625" style="16" customWidth="1"/>
    <col min="1532" max="1532" width="12.28515625" style="16" customWidth="1"/>
    <col min="1533" max="1533" width="15.42578125" style="16" customWidth="1"/>
    <col min="1534" max="1534" width="11.85546875" style="16" customWidth="1"/>
    <col min="1535" max="1535" width="13.28515625" style="16" customWidth="1"/>
    <col min="1536" max="1536" width="15.28515625" style="16" customWidth="1"/>
    <col min="1537" max="1537" width="11.85546875" style="16" customWidth="1"/>
    <col min="1538" max="1538" width="6.140625" style="16" customWidth="1"/>
    <col min="1539" max="1539" width="11.85546875" style="16" customWidth="1"/>
    <col min="1540" max="1540" width="9.42578125" style="16" customWidth="1"/>
    <col min="1541" max="1541" width="14.7109375" style="16" customWidth="1"/>
    <col min="1542" max="1542" width="11.5703125" style="16" customWidth="1"/>
    <col min="1543" max="1543" width="0.42578125" style="16" customWidth="1"/>
    <col min="1544" max="1544" width="10.5703125" style="16" bestFit="1" customWidth="1"/>
    <col min="1545" max="1545" width="12.28515625" style="16" customWidth="1"/>
    <col min="1546" max="1546" width="12.5703125" style="16" customWidth="1"/>
    <col min="1547" max="1547" width="10.5703125" style="16" customWidth="1"/>
    <col min="1548" max="1548" width="10.140625" style="16" customWidth="1"/>
    <col min="1549" max="1549" width="8.42578125" style="16" customWidth="1"/>
    <col min="1550" max="1550" width="18.85546875" style="16" customWidth="1"/>
    <col min="1551" max="1551" width="10.28515625" style="16" customWidth="1"/>
    <col min="1552" max="1552" width="11.42578125" style="16"/>
    <col min="1553" max="1553" width="12.140625" style="16" customWidth="1"/>
    <col min="1554" max="1554" width="10.5703125" style="16" customWidth="1"/>
    <col min="1555" max="1555" width="12.42578125" style="16" customWidth="1"/>
    <col min="1556" max="1556" width="15.140625" style="16" customWidth="1"/>
    <col min="1557" max="1557" width="13.5703125" style="16" customWidth="1"/>
    <col min="1558" max="1558" width="13.140625" style="16" customWidth="1"/>
    <col min="1559" max="1559" width="15.7109375" style="16" customWidth="1"/>
    <col min="1560" max="1560" width="37.5703125" style="16" customWidth="1"/>
    <col min="1561" max="1782" width="11.42578125" style="16"/>
    <col min="1783" max="1783" width="10.5703125" style="16" customWidth="1"/>
    <col min="1784" max="1784" width="4.85546875" style="16" customWidth="1"/>
    <col min="1785" max="1785" width="32.42578125" style="16" customWidth="1"/>
    <col min="1786" max="1786" width="9.85546875" style="16" customWidth="1"/>
    <col min="1787" max="1787" width="10.140625" style="16" customWidth="1"/>
    <col min="1788" max="1788" width="12.28515625" style="16" customWidth="1"/>
    <col min="1789" max="1789" width="15.42578125" style="16" customWidth="1"/>
    <col min="1790" max="1790" width="11.85546875" style="16" customWidth="1"/>
    <col min="1791" max="1791" width="13.28515625" style="16" customWidth="1"/>
    <col min="1792" max="1792" width="15.28515625" style="16" customWidth="1"/>
    <col min="1793" max="1793" width="11.85546875" style="16" customWidth="1"/>
    <col min="1794" max="1794" width="6.140625" style="16" customWidth="1"/>
    <col min="1795" max="1795" width="11.85546875" style="16" customWidth="1"/>
    <col min="1796" max="1796" width="9.42578125" style="16" customWidth="1"/>
    <col min="1797" max="1797" width="14.7109375" style="16" customWidth="1"/>
    <col min="1798" max="1798" width="11.5703125" style="16" customWidth="1"/>
    <col min="1799" max="1799" width="0.42578125" style="16" customWidth="1"/>
    <col min="1800" max="1800" width="10.5703125" style="16" bestFit="1" customWidth="1"/>
    <col min="1801" max="1801" width="12.28515625" style="16" customWidth="1"/>
    <col min="1802" max="1802" width="12.5703125" style="16" customWidth="1"/>
    <col min="1803" max="1803" width="10.5703125" style="16" customWidth="1"/>
    <col min="1804" max="1804" width="10.140625" style="16" customWidth="1"/>
    <col min="1805" max="1805" width="8.42578125" style="16" customWidth="1"/>
    <col min="1806" max="1806" width="18.85546875" style="16" customWidth="1"/>
    <col min="1807" max="1807" width="10.28515625" style="16" customWidth="1"/>
    <col min="1808" max="1808" width="11.42578125" style="16"/>
    <col min="1809" max="1809" width="12.140625" style="16" customWidth="1"/>
    <col min="1810" max="1810" width="10.5703125" style="16" customWidth="1"/>
    <col min="1811" max="1811" width="12.42578125" style="16" customWidth="1"/>
    <col min="1812" max="1812" width="15.140625" style="16" customWidth="1"/>
    <col min="1813" max="1813" width="13.5703125" style="16" customWidth="1"/>
    <col min="1814" max="1814" width="13.140625" style="16" customWidth="1"/>
    <col min="1815" max="1815" width="15.7109375" style="16" customWidth="1"/>
    <col min="1816" max="1816" width="37.5703125" style="16" customWidth="1"/>
    <col min="1817" max="2038" width="11.42578125" style="16"/>
    <col min="2039" max="2039" width="10.5703125" style="16" customWidth="1"/>
    <col min="2040" max="2040" width="4.85546875" style="16" customWidth="1"/>
    <col min="2041" max="2041" width="32.42578125" style="16" customWidth="1"/>
    <col min="2042" max="2042" width="9.85546875" style="16" customWidth="1"/>
    <col min="2043" max="2043" width="10.140625" style="16" customWidth="1"/>
    <col min="2044" max="2044" width="12.28515625" style="16" customWidth="1"/>
    <col min="2045" max="2045" width="15.42578125" style="16" customWidth="1"/>
    <col min="2046" max="2046" width="11.85546875" style="16" customWidth="1"/>
    <col min="2047" max="2047" width="13.28515625" style="16" customWidth="1"/>
    <col min="2048" max="2048" width="15.28515625" style="16" customWidth="1"/>
    <col min="2049" max="2049" width="11.85546875" style="16" customWidth="1"/>
    <col min="2050" max="2050" width="6.140625" style="16" customWidth="1"/>
    <col min="2051" max="2051" width="11.85546875" style="16" customWidth="1"/>
    <col min="2052" max="2052" width="9.42578125" style="16" customWidth="1"/>
    <col min="2053" max="2053" width="14.7109375" style="16" customWidth="1"/>
    <col min="2054" max="2054" width="11.5703125" style="16" customWidth="1"/>
    <col min="2055" max="2055" width="0.42578125" style="16" customWidth="1"/>
    <col min="2056" max="2056" width="10.5703125" style="16" bestFit="1" customWidth="1"/>
    <col min="2057" max="2057" width="12.28515625" style="16" customWidth="1"/>
    <col min="2058" max="2058" width="12.5703125" style="16" customWidth="1"/>
    <col min="2059" max="2059" width="10.5703125" style="16" customWidth="1"/>
    <col min="2060" max="2060" width="10.140625" style="16" customWidth="1"/>
    <col min="2061" max="2061" width="8.42578125" style="16" customWidth="1"/>
    <col min="2062" max="2062" width="18.85546875" style="16" customWidth="1"/>
    <col min="2063" max="2063" width="10.28515625" style="16" customWidth="1"/>
    <col min="2064" max="2064" width="11.42578125" style="16"/>
    <col min="2065" max="2065" width="12.140625" style="16" customWidth="1"/>
    <col min="2066" max="2066" width="10.5703125" style="16" customWidth="1"/>
    <col min="2067" max="2067" width="12.42578125" style="16" customWidth="1"/>
    <col min="2068" max="2068" width="15.140625" style="16" customWidth="1"/>
    <col min="2069" max="2069" width="13.5703125" style="16" customWidth="1"/>
    <col min="2070" max="2070" width="13.140625" style="16" customWidth="1"/>
    <col min="2071" max="2071" width="15.7109375" style="16" customWidth="1"/>
    <col min="2072" max="2072" width="37.5703125" style="16" customWidth="1"/>
    <col min="2073" max="2294" width="11.42578125" style="16"/>
    <col min="2295" max="2295" width="10.5703125" style="16" customWidth="1"/>
    <col min="2296" max="2296" width="4.85546875" style="16" customWidth="1"/>
    <col min="2297" max="2297" width="32.42578125" style="16" customWidth="1"/>
    <col min="2298" max="2298" width="9.85546875" style="16" customWidth="1"/>
    <col min="2299" max="2299" width="10.140625" style="16" customWidth="1"/>
    <col min="2300" max="2300" width="12.28515625" style="16" customWidth="1"/>
    <col min="2301" max="2301" width="15.42578125" style="16" customWidth="1"/>
    <col min="2302" max="2302" width="11.85546875" style="16" customWidth="1"/>
    <col min="2303" max="2303" width="13.28515625" style="16" customWidth="1"/>
    <col min="2304" max="2304" width="15.28515625" style="16" customWidth="1"/>
    <col min="2305" max="2305" width="11.85546875" style="16" customWidth="1"/>
    <col min="2306" max="2306" width="6.140625" style="16" customWidth="1"/>
    <col min="2307" max="2307" width="11.85546875" style="16" customWidth="1"/>
    <col min="2308" max="2308" width="9.42578125" style="16" customWidth="1"/>
    <col min="2309" max="2309" width="14.7109375" style="16" customWidth="1"/>
    <col min="2310" max="2310" width="11.5703125" style="16" customWidth="1"/>
    <col min="2311" max="2311" width="0.42578125" style="16" customWidth="1"/>
    <col min="2312" max="2312" width="10.5703125" style="16" bestFit="1" customWidth="1"/>
    <col min="2313" max="2313" width="12.28515625" style="16" customWidth="1"/>
    <col min="2314" max="2314" width="12.5703125" style="16" customWidth="1"/>
    <col min="2315" max="2315" width="10.5703125" style="16" customWidth="1"/>
    <col min="2316" max="2316" width="10.140625" style="16" customWidth="1"/>
    <col min="2317" max="2317" width="8.42578125" style="16" customWidth="1"/>
    <col min="2318" max="2318" width="18.85546875" style="16" customWidth="1"/>
    <col min="2319" max="2319" width="10.28515625" style="16" customWidth="1"/>
    <col min="2320" max="2320" width="11.42578125" style="16"/>
    <col min="2321" max="2321" width="12.140625" style="16" customWidth="1"/>
    <col min="2322" max="2322" width="10.5703125" style="16" customWidth="1"/>
    <col min="2323" max="2323" width="12.42578125" style="16" customWidth="1"/>
    <col min="2324" max="2324" width="15.140625" style="16" customWidth="1"/>
    <col min="2325" max="2325" width="13.5703125" style="16" customWidth="1"/>
    <col min="2326" max="2326" width="13.140625" style="16" customWidth="1"/>
    <col min="2327" max="2327" width="15.7109375" style="16" customWidth="1"/>
    <col min="2328" max="2328" width="37.5703125" style="16" customWidth="1"/>
    <col min="2329" max="2550" width="11.42578125" style="16"/>
    <col min="2551" max="2551" width="10.5703125" style="16" customWidth="1"/>
    <col min="2552" max="2552" width="4.85546875" style="16" customWidth="1"/>
    <col min="2553" max="2553" width="32.42578125" style="16" customWidth="1"/>
    <col min="2554" max="2554" width="9.85546875" style="16" customWidth="1"/>
    <col min="2555" max="2555" width="10.140625" style="16" customWidth="1"/>
    <col min="2556" max="2556" width="12.28515625" style="16" customWidth="1"/>
    <col min="2557" max="2557" width="15.42578125" style="16" customWidth="1"/>
    <col min="2558" max="2558" width="11.85546875" style="16" customWidth="1"/>
    <col min="2559" max="2559" width="13.28515625" style="16" customWidth="1"/>
    <col min="2560" max="2560" width="15.28515625" style="16" customWidth="1"/>
    <col min="2561" max="2561" width="11.85546875" style="16" customWidth="1"/>
    <col min="2562" max="2562" width="6.140625" style="16" customWidth="1"/>
    <col min="2563" max="2563" width="11.85546875" style="16" customWidth="1"/>
    <col min="2564" max="2564" width="9.42578125" style="16" customWidth="1"/>
    <col min="2565" max="2565" width="14.7109375" style="16" customWidth="1"/>
    <col min="2566" max="2566" width="11.5703125" style="16" customWidth="1"/>
    <col min="2567" max="2567" width="0.42578125" style="16" customWidth="1"/>
    <col min="2568" max="2568" width="10.5703125" style="16" bestFit="1" customWidth="1"/>
    <col min="2569" max="2569" width="12.28515625" style="16" customWidth="1"/>
    <col min="2570" max="2570" width="12.5703125" style="16" customWidth="1"/>
    <col min="2571" max="2571" width="10.5703125" style="16" customWidth="1"/>
    <col min="2572" max="2572" width="10.140625" style="16" customWidth="1"/>
    <col min="2573" max="2573" width="8.42578125" style="16" customWidth="1"/>
    <col min="2574" max="2574" width="18.85546875" style="16" customWidth="1"/>
    <col min="2575" max="2575" width="10.28515625" style="16" customWidth="1"/>
    <col min="2576" max="2576" width="11.42578125" style="16"/>
    <col min="2577" max="2577" width="12.140625" style="16" customWidth="1"/>
    <col min="2578" max="2578" width="10.5703125" style="16" customWidth="1"/>
    <col min="2579" max="2579" width="12.42578125" style="16" customWidth="1"/>
    <col min="2580" max="2580" width="15.140625" style="16" customWidth="1"/>
    <col min="2581" max="2581" width="13.5703125" style="16" customWidth="1"/>
    <col min="2582" max="2582" width="13.140625" style="16" customWidth="1"/>
    <col min="2583" max="2583" width="15.7109375" style="16" customWidth="1"/>
    <col min="2584" max="2584" width="37.5703125" style="16" customWidth="1"/>
    <col min="2585" max="2806" width="11.42578125" style="16"/>
    <col min="2807" max="2807" width="10.5703125" style="16" customWidth="1"/>
    <col min="2808" max="2808" width="4.85546875" style="16" customWidth="1"/>
    <col min="2809" max="2809" width="32.42578125" style="16" customWidth="1"/>
    <col min="2810" max="2810" width="9.85546875" style="16" customWidth="1"/>
    <col min="2811" max="2811" width="10.140625" style="16" customWidth="1"/>
    <col min="2812" max="2812" width="12.28515625" style="16" customWidth="1"/>
    <col min="2813" max="2813" width="15.42578125" style="16" customWidth="1"/>
    <col min="2814" max="2814" width="11.85546875" style="16" customWidth="1"/>
    <col min="2815" max="2815" width="13.28515625" style="16" customWidth="1"/>
    <col min="2816" max="2816" width="15.28515625" style="16" customWidth="1"/>
    <col min="2817" max="2817" width="11.85546875" style="16" customWidth="1"/>
    <col min="2818" max="2818" width="6.140625" style="16" customWidth="1"/>
    <col min="2819" max="2819" width="11.85546875" style="16" customWidth="1"/>
    <col min="2820" max="2820" width="9.42578125" style="16" customWidth="1"/>
    <col min="2821" max="2821" width="14.7109375" style="16" customWidth="1"/>
    <col min="2822" max="2822" width="11.5703125" style="16" customWidth="1"/>
    <col min="2823" max="2823" width="0.42578125" style="16" customWidth="1"/>
    <col min="2824" max="2824" width="10.5703125" style="16" bestFit="1" customWidth="1"/>
    <col min="2825" max="2825" width="12.28515625" style="16" customWidth="1"/>
    <col min="2826" max="2826" width="12.5703125" style="16" customWidth="1"/>
    <col min="2827" max="2827" width="10.5703125" style="16" customWidth="1"/>
    <col min="2828" max="2828" width="10.140625" style="16" customWidth="1"/>
    <col min="2829" max="2829" width="8.42578125" style="16" customWidth="1"/>
    <col min="2830" max="2830" width="18.85546875" style="16" customWidth="1"/>
    <col min="2831" max="2831" width="10.28515625" style="16" customWidth="1"/>
    <col min="2832" max="2832" width="11.42578125" style="16"/>
    <col min="2833" max="2833" width="12.140625" style="16" customWidth="1"/>
    <col min="2834" max="2834" width="10.5703125" style="16" customWidth="1"/>
    <col min="2835" max="2835" width="12.42578125" style="16" customWidth="1"/>
    <col min="2836" max="2836" width="15.140625" style="16" customWidth="1"/>
    <col min="2837" max="2837" width="13.5703125" style="16" customWidth="1"/>
    <col min="2838" max="2838" width="13.140625" style="16" customWidth="1"/>
    <col min="2839" max="2839" width="15.7109375" style="16" customWidth="1"/>
    <col min="2840" max="2840" width="37.5703125" style="16" customWidth="1"/>
    <col min="2841" max="3062" width="11.42578125" style="16"/>
    <col min="3063" max="3063" width="10.5703125" style="16" customWidth="1"/>
    <col min="3064" max="3064" width="4.85546875" style="16" customWidth="1"/>
    <col min="3065" max="3065" width="32.42578125" style="16" customWidth="1"/>
    <col min="3066" max="3066" width="9.85546875" style="16" customWidth="1"/>
    <col min="3067" max="3067" width="10.140625" style="16" customWidth="1"/>
    <col min="3068" max="3068" width="12.28515625" style="16" customWidth="1"/>
    <col min="3069" max="3069" width="15.42578125" style="16" customWidth="1"/>
    <col min="3070" max="3070" width="11.85546875" style="16" customWidth="1"/>
    <col min="3071" max="3071" width="13.28515625" style="16" customWidth="1"/>
    <col min="3072" max="3072" width="15.28515625" style="16" customWidth="1"/>
    <col min="3073" max="3073" width="11.85546875" style="16" customWidth="1"/>
    <col min="3074" max="3074" width="6.140625" style="16" customWidth="1"/>
    <col min="3075" max="3075" width="11.85546875" style="16" customWidth="1"/>
    <col min="3076" max="3076" width="9.42578125" style="16" customWidth="1"/>
    <col min="3077" max="3077" width="14.7109375" style="16" customWidth="1"/>
    <col min="3078" max="3078" width="11.5703125" style="16" customWidth="1"/>
    <col min="3079" max="3079" width="0.42578125" style="16" customWidth="1"/>
    <col min="3080" max="3080" width="10.5703125" style="16" bestFit="1" customWidth="1"/>
    <col min="3081" max="3081" width="12.28515625" style="16" customWidth="1"/>
    <col min="3082" max="3082" width="12.5703125" style="16" customWidth="1"/>
    <col min="3083" max="3083" width="10.5703125" style="16" customWidth="1"/>
    <col min="3084" max="3084" width="10.140625" style="16" customWidth="1"/>
    <col min="3085" max="3085" width="8.42578125" style="16" customWidth="1"/>
    <col min="3086" max="3086" width="18.85546875" style="16" customWidth="1"/>
    <col min="3087" max="3087" width="10.28515625" style="16" customWidth="1"/>
    <col min="3088" max="3088" width="11.42578125" style="16"/>
    <col min="3089" max="3089" width="12.140625" style="16" customWidth="1"/>
    <col min="3090" max="3090" width="10.5703125" style="16" customWidth="1"/>
    <col min="3091" max="3091" width="12.42578125" style="16" customWidth="1"/>
    <col min="3092" max="3092" width="15.140625" style="16" customWidth="1"/>
    <col min="3093" max="3093" width="13.5703125" style="16" customWidth="1"/>
    <col min="3094" max="3094" width="13.140625" style="16" customWidth="1"/>
    <col min="3095" max="3095" width="15.7109375" style="16" customWidth="1"/>
    <col min="3096" max="3096" width="37.5703125" style="16" customWidth="1"/>
    <col min="3097" max="3318" width="11.42578125" style="16"/>
    <col min="3319" max="3319" width="10.5703125" style="16" customWidth="1"/>
    <col min="3320" max="3320" width="4.85546875" style="16" customWidth="1"/>
    <col min="3321" max="3321" width="32.42578125" style="16" customWidth="1"/>
    <col min="3322" max="3322" width="9.85546875" style="16" customWidth="1"/>
    <col min="3323" max="3323" width="10.140625" style="16" customWidth="1"/>
    <col min="3324" max="3324" width="12.28515625" style="16" customWidth="1"/>
    <col min="3325" max="3325" width="15.42578125" style="16" customWidth="1"/>
    <col min="3326" max="3326" width="11.85546875" style="16" customWidth="1"/>
    <col min="3327" max="3327" width="13.28515625" style="16" customWidth="1"/>
    <col min="3328" max="3328" width="15.28515625" style="16" customWidth="1"/>
    <col min="3329" max="3329" width="11.85546875" style="16" customWidth="1"/>
    <col min="3330" max="3330" width="6.140625" style="16" customWidth="1"/>
    <col min="3331" max="3331" width="11.85546875" style="16" customWidth="1"/>
    <col min="3332" max="3332" width="9.42578125" style="16" customWidth="1"/>
    <col min="3333" max="3333" width="14.7109375" style="16" customWidth="1"/>
    <col min="3334" max="3334" width="11.5703125" style="16" customWidth="1"/>
    <col min="3335" max="3335" width="0.42578125" style="16" customWidth="1"/>
    <col min="3336" max="3336" width="10.5703125" style="16" bestFit="1" customWidth="1"/>
    <col min="3337" max="3337" width="12.28515625" style="16" customWidth="1"/>
    <col min="3338" max="3338" width="12.5703125" style="16" customWidth="1"/>
    <col min="3339" max="3339" width="10.5703125" style="16" customWidth="1"/>
    <col min="3340" max="3340" width="10.140625" style="16" customWidth="1"/>
    <col min="3341" max="3341" width="8.42578125" style="16" customWidth="1"/>
    <col min="3342" max="3342" width="18.85546875" style="16" customWidth="1"/>
    <col min="3343" max="3343" width="10.28515625" style="16" customWidth="1"/>
    <col min="3344" max="3344" width="11.42578125" style="16"/>
    <col min="3345" max="3345" width="12.140625" style="16" customWidth="1"/>
    <col min="3346" max="3346" width="10.5703125" style="16" customWidth="1"/>
    <col min="3347" max="3347" width="12.42578125" style="16" customWidth="1"/>
    <col min="3348" max="3348" width="15.140625" style="16" customWidth="1"/>
    <col min="3349" max="3349" width="13.5703125" style="16" customWidth="1"/>
    <col min="3350" max="3350" width="13.140625" style="16" customWidth="1"/>
    <col min="3351" max="3351" width="15.7109375" style="16" customWidth="1"/>
    <col min="3352" max="3352" width="37.5703125" style="16" customWidth="1"/>
    <col min="3353" max="3574" width="11.42578125" style="16"/>
    <col min="3575" max="3575" width="10.5703125" style="16" customWidth="1"/>
    <col min="3576" max="3576" width="4.85546875" style="16" customWidth="1"/>
    <col min="3577" max="3577" width="32.42578125" style="16" customWidth="1"/>
    <col min="3578" max="3578" width="9.85546875" style="16" customWidth="1"/>
    <col min="3579" max="3579" width="10.140625" style="16" customWidth="1"/>
    <col min="3580" max="3580" width="12.28515625" style="16" customWidth="1"/>
    <col min="3581" max="3581" width="15.42578125" style="16" customWidth="1"/>
    <col min="3582" max="3582" width="11.85546875" style="16" customWidth="1"/>
    <col min="3583" max="3583" width="13.28515625" style="16" customWidth="1"/>
    <col min="3584" max="3584" width="15.28515625" style="16" customWidth="1"/>
    <col min="3585" max="3585" width="11.85546875" style="16" customWidth="1"/>
    <col min="3586" max="3586" width="6.140625" style="16" customWidth="1"/>
    <col min="3587" max="3587" width="11.85546875" style="16" customWidth="1"/>
    <col min="3588" max="3588" width="9.42578125" style="16" customWidth="1"/>
    <col min="3589" max="3589" width="14.7109375" style="16" customWidth="1"/>
    <col min="3590" max="3590" width="11.5703125" style="16" customWidth="1"/>
    <col min="3591" max="3591" width="0.42578125" style="16" customWidth="1"/>
    <col min="3592" max="3592" width="10.5703125" style="16" bestFit="1" customWidth="1"/>
    <col min="3593" max="3593" width="12.28515625" style="16" customWidth="1"/>
    <col min="3594" max="3594" width="12.5703125" style="16" customWidth="1"/>
    <col min="3595" max="3595" width="10.5703125" style="16" customWidth="1"/>
    <col min="3596" max="3596" width="10.140625" style="16" customWidth="1"/>
    <col min="3597" max="3597" width="8.42578125" style="16" customWidth="1"/>
    <col min="3598" max="3598" width="18.85546875" style="16" customWidth="1"/>
    <col min="3599" max="3599" width="10.28515625" style="16" customWidth="1"/>
    <col min="3600" max="3600" width="11.42578125" style="16"/>
    <col min="3601" max="3601" width="12.140625" style="16" customWidth="1"/>
    <col min="3602" max="3602" width="10.5703125" style="16" customWidth="1"/>
    <col min="3603" max="3603" width="12.42578125" style="16" customWidth="1"/>
    <col min="3604" max="3604" width="15.140625" style="16" customWidth="1"/>
    <col min="3605" max="3605" width="13.5703125" style="16" customWidth="1"/>
    <col min="3606" max="3606" width="13.140625" style="16" customWidth="1"/>
    <col min="3607" max="3607" width="15.7109375" style="16" customWidth="1"/>
    <col min="3608" max="3608" width="37.5703125" style="16" customWidth="1"/>
    <col min="3609" max="3830" width="11.42578125" style="16"/>
    <col min="3831" max="3831" width="10.5703125" style="16" customWidth="1"/>
    <col min="3832" max="3832" width="4.85546875" style="16" customWidth="1"/>
    <col min="3833" max="3833" width="32.42578125" style="16" customWidth="1"/>
    <col min="3834" max="3834" width="9.85546875" style="16" customWidth="1"/>
    <col min="3835" max="3835" width="10.140625" style="16" customWidth="1"/>
    <col min="3836" max="3836" width="12.28515625" style="16" customWidth="1"/>
    <col min="3837" max="3837" width="15.42578125" style="16" customWidth="1"/>
    <col min="3838" max="3838" width="11.85546875" style="16" customWidth="1"/>
    <col min="3839" max="3839" width="13.28515625" style="16" customWidth="1"/>
    <col min="3840" max="3840" width="15.28515625" style="16" customWidth="1"/>
    <col min="3841" max="3841" width="11.85546875" style="16" customWidth="1"/>
    <col min="3842" max="3842" width="6.140625" style="16" customWidth="1"/>
    <col min="3843" max="3843" width="11.85546875" style="16" customWidth="1"/>
    <col min="3844" max="3844" width="9.42578125" style="16" customWidth="1"/>
    <col min="3845" max="3845" width="14.7109375" style="16" customWidth="1"/>
    <col min="3846" max="3846" width="11.5703125" style="16" customWidth="1"/>
    <col min="3847" max="3847" width="0.42578125" style="16" customWidth="1"/>
    <col min="3848" max="3848" width="10.5703125" style="16" bestFit="1" customWidth="1"/>
    <col min="3849" max="3849" width="12.28515625" style="16" customWidth="1"/>
    <col min="3850" max="3850" width="12.5703125" style="16" customWidth="1"/>
    <col min="3851" max="3851" width="10.5703125" style="16" customWidth="1"/>
    <col min="3852" max="3852" width="10.140625" style="16" customWidth="1"/>
    <col min="3853" max="3853" width="8.42578125" style="16" customWidth="1"/>
    <col min="3854" max="3854" width="18.85546875" style="16" customWidth="1"/>
    <col min="3855" max="3855" width="10.28515625" style="16" customWidth="1"/>
    <col min="3856" max="3856" width="11.42578125" style="16"/>
    <col min="3857" max="3857" width="12.140625" style="16" customWidth="1"/>
    <col min="3858" max="3858" width="10.5703125" style="16" customWidth="1"/>
    <col min="3859" max="3859" width="12.42578125" style="16" customWidth="1"/>
    <col min="3860" max="3860" width="15.140625" style="16" customWidth="1"/>
    <col min="3861" max="3861" width="13.5703125" style="16" customWidth="1"/>
    <col min="3862" max="3862" width="13.140625" style="16" customWidth="1"/>
    <col min="3863" max="3863" width="15.7109375" style="16" customWidth="1"/>
    <col min="3864" max="3864" width="37.5703125" style="16" customWidth="1"/>
    <col min="3865" max="4086" width="11.42578125" style="16"/>
    <col min="4087" max="4087" width="10.5703125" style="16" customWidth="1"/>
    <col min="4088" max="4088" width="4.85546875" style="16" customWidth="1"/>
    <col min="4089" max="4089" width="32.42578125" style="16" customWidth="1"/>
    <col min="4090" max="4090" width="9.85546875" style="16" customWidth="1"/>
    <col min="4091" max="4091" width="10.140625" style="16" customWidth="1"/>
    <col min="4092" max="4092" width="12.28515625" style="16" customWidth="1"/>
    <col min="4093" max="4093" width="15.42578125" style="16" customWidth="1"/>
    <col min="4094" max="4094" width="11.85546875" style="16" customWidth="1"/>
    <col min="4095" max="4095" width="13.28515625" style="16" customWidth="1"/>
    <col min="4096" max="4096" width="15.28515625" style="16" customWidth="1"/>
    <col min="4097" max="4097" width="11.85546875" style="16" customWidth="1"/>
    <col min="4098" max="4098" width="6.140625" style="16" customWidth="1"/>
    <col min="4099" max="4099" width="11.85546875" style="16" customWidth="1"/>
    <col min="4100" max="4100" width="9.42578125" style="16" customWidth="1"/>
    <col min="4101" max="4101" width="14.7109375" style="16" customWidth="1"/>
    <col min="4102" max="4102" width="11.5703125" style="16" customWidth="1"/>
    <col min="4103" max="4103" width="0.42578125" style="16" customWidth="1"/>
    <col min="4104" max="4104" width="10.5703125" style="16" bestFit="1" customWidth="1"/>
    <col min="4105" max="4105" width="12.28515625" style="16" customWidth="1"/>
    <col min="4106" max="4106" width="12.5703125" style="16" customWidth="1"/>
    <col min="4107" max="4107" width="10.5703125" style="16" customWidth="1"/>
    <col min="4108" max="4108" width="10.140625" style="16" customWidth="1"/>
    <col min="4109" max="4109" width="8.42578125" style="16" customWidth="1"/>
    <col min="4110" max="4110" width="18.85546875" style="16" customWidth="1"/>
    <col min="4111" max="4111" width="10.28515625" style="16" customWidth="1"/>
    <col min="4112" max="4112" width="11.42578125" style="16"/>
    <col min="4113" max="4113" width="12.140625" style="16" customWidth="1"/>
    <col min="4114" max="4114" width="10.5703125" style="16" customWidth="1"/>
    <col min="4115" max="4115" width="12.42578125" style="16" customWidth="1"/>
    <col min="4116" max="4116" width="15.140625" style="16" customWidth="1"/>
    <col min="4117" max="4117" width="13.5703125" style="16" customWidth="1"/>
    <col min="4118" max="4118" width="13.140625" style="16" customWidth="1"/>
    <col min="4119" max="4119" width="15.7109375" style="16" customWidth="1"/>
    <col min="4120" max="4120" width="37.5703125" style="16" customWidth="1"/>
    <col min="4121" max="4342" width="11.42578125" style="16"/>
    <col min="4343" max="4343" width="10.5703125" style="16" customWidth="1"/>
    <col min="4344" max="4344" width="4.85546875" style="16" customWidth="1"/>
    <col min="4345" max="4345" width="32.42578125" style="16" customWidth="1"/>
    <col min="4346" max="4346" width="9.85546875" style="16" customWidth="1"/>
    <col min="4347" max="4347" width="10.140625" style="16" customWidth="1"/>
    <col min="4348" max="4348" width="12.28515625" style="16" customWidth="1"/>
    <col min="4349" max="4349" width="15.42578125" style="16" customWidth="1"/>
    <col min="4350" max="4350" width="11.85546875" style="16" customWidth="1"/>
    <col min="4351" max="4351" width="13.28515625" style="16" customWidth="1"/>
    <col min="4352" max="4352" width="15.28515625" style="16" customWidth="1"/>
    <col min="4353" max="4353" width="11.85546875" style="16" customWidth="1"/>
    <col min="4354" max="4354" width="6.140625" style="16" customWidth="1"/>
    <col min="4355" max="4355" width="11.85546875" style="16" customWidth="1"/>
    <col min="4356" max="4356" width="9.42578125" style="16" customWidth="1"/>
    <col min="4357" max="4357" width="14.7109375" style="16" customWidth="1"/>
    <col min="4358" max="4358" width="11.5703125" style="16" customWidth="1"/>
    <col min="4359" max="4359" width="0.42578125" style="16" customWidth="1"/>
    <col min="4360" max="4360" width="10.5703125" style="16" bestFit="1" customWidth="1"/>
    <col min="4361" max="4361" width="12.28515625" style="16" customWidth="1"/>
    <col min="4362" max="4362" width="12.5703125" style="16" customWidth="1"/>
    <col min="4363" max="4363" width="10.5703125" style="16" customWidth="1"/>
    <col min="4364" max="4364" width="10.140625" style="16" customWidth="1"/>
    <col min="4365" max="4365" width="8.42578125" style="16" customWidth="1"/>
    <col min="4366" max="4366" width="18.85546875" style="16" customWidth="1"/>
    <col min="4367" max="4367" width="10.28515625" style="16" customWidth="1"/>
    <col min="4368" max="4368" width="11.42578125" style="16"/>
    <col min="4369" max="4369" width="12.140625" style="16" customWidth="1"/>
    <col min="4370" max="4370" width="10.5703125" style="16" customWidth="1"/>
    <col min="4371" max="4371" width="12.42578125" style="16" customWidth="1"/>
    <col min="4372" max="4372" width="15.140625" style="16" customWidth="1"/>
    <col min="4373" max="4373" width="13.5703125" style="16" customWidth="1"/>
    <col min="4374" max="4374" width="13.140625" style="16" customWidth="1"/>
    <col min="4375" max="4375" width="15.7109375" style="16" customWidth="1"/>
    <col min="4376" max="4376" width="37.5703125" style="16" customWidth="1"/>
    <col min="4377" max="4598" width="11.42578125" style="16"/>
    <col min="4599" max="4599" width="10.5703125" style="16" customWidth="1"/>
    <col min="4600" max="4600" width="4.85546875" style="16" customWidth="1"/>
    <col min="4601" max="4601" width="32.42578125" style="16" customWidth="1"/>
    <col min="4602" max="4602" width="9.85546875" style="16" customWidth="1"/>
    <col min="4603" max="4603" width="10.140625" style="16" customWidth="1"/>
    <col min="4604" max="4604" width="12.28515625" style="16" customWidth="1"/>
    <col min="4605" max="4605" width="15.42578125" style="16" customWidth="1"/>
    <col min="4606" max="4606" width="11.85546875" style="16" customWidth="1"/>
    <col min="4607" max="4607" width="13.28515625" style="16" customWidth="1"/>
    <col min="4608" max="4608" width="15.28515625" style="16" customWidth="1"/>
    <col min="4609" max="4609" width="11.85546875" style="16" customWidth="1"/>
    <col min="4610" max="4610" width="6.140625" style="16" customWidth="1"/>
    <col min="4611" max="4611" width="11.85546875" style="16" customWidth="1"/>
    <col min="4612" max="4612" width="9.42578125" style="16" customWidth="1"/>
    <col min="4613" max="4613" width="14.7109375" style="16" customWidth="1"/>
    <col min="4614" max="4614" width="11.5703125" style="16" customWidth="1"/>
    <col min="4615" max="4615" width="0.42578125" style="16" customWidth="1"/>
    <col min="4616" max="4616" width="10.5703125" style="16" bestFit="1" customWidth="1"/>
    <col min="4617" max="4617" width="12.28515625" style="16" customWidth="1"/>
    <col min="4618" max="4618" width="12.5703125" style="16" customWidth="1"/>
    <col min="4619" max="4619" width="10.5703125" style="16" customWidth="1"/>
    <col min="4620" max="4620" width="10.140625" style="16" customWidth="1"/>
    <col min="4621" max="4621" width="8.42578125" style="16" customWidth="1"/>
    <col min="4622" max="4622" width="18.85546875" style="16" customWidth="1"/>
    <col min="4623" max="4623" width="10.28515625" style="16" customWidth="1"/>
    <col min="4624" max="4624" width="11.42578125" style="16"/>
    <col min="4625" max="4625" width="12.140625" style="16" customWidth="1"/>
    <col min="4626" max="4626" width="10.5703125" style="16" customWidth="1"/>
    <col min="4627" max="4627" width="12.42578125" style="16" customWidth="1"/>
    <col min="4628" max="4628" width="15.140625" style="16" customWidth="1"/>
    <col min="4629" max="4629" width="13.5703125" style="16" customWidth="1"/>
    <col min="4630" max="4630" width="13.140625" style="16" customWidth="1"/>
    <col min="4631" max="4631" width="15.7109375" style="16" customWidth="1"/>
    <col min="4632" max="4632" width="37.5703125" style="16" customWidth="1"/>
    <col min="4633" max="4854" width="11.42578125" style="16"/>
    <col min="4855" max="4855" width="10.5703125" style="16" customWidth="1"/>
    <col min="4856" max="4856" width="4.85546875" style="16" customWidth="1"/>
    <col min="4857" max="4857" width="32.42578125" style="16" customWidth="1"/>
    <col min="4858" max="4858" width="9.85546875" style="16" customWidth="1"/>
    <col min="4859" max="4859" width="10.140625" style="16" customWidth="1"/>
    <col min="4860" max="4860" width="12.28515625" style="16" customWidth="1"/>
    <col min="4861" max="4861" width="15.42578125" style="16" customWidth="1"/>
    <col min="4862" max="4862" width="11.85546875" style="16" customWidth="1"/>
    <col min="4863" max="4863" width="13.28515625" style="16" customWidth="1"/>
    <col min="4864" max="4864" width="15.28515625" style="16" customWidth="1"/>
    <col min="4865" max="4865" width="11.85546875" style="16" customWidth="1"/>
    <col min="4866" max="4866" width="6.140625" style="16" customWidth="1"/>
    <col min="4867" max="4867" width="11.85546875" style="16" customWidth="1"/>
    <col min="4868" max="4868" width="9.42578125" style="16" customWidth="1"/>
    <col min="4869" max="4869" width="14.7109375" style="16" customWidth="1"/>
    <col min="4870" max="4870" width="11.5703125" style="16" customWidth="1"/>
    <col min="4871" max="4871" width="0.42578125" style="16" customWidth="1"/>
    <col min="4872" max="4872" width="10.5703125" style="16" bestFit="1" customWidth="1"/>
    <col min="4873" max="4873" width="12.28515625" style="16" customWidth="1"/>
    <col min="4874" max="4874" width="12.5703125" style="16" customWidth="1"/>
    <col min="4875" max="4875" width="10.5703125" style="16" customWidth="1"/>
    <col min="4876" max="4876" width="10.140625" style="16" customWidth="1"/>
    <col min="4877" max="4877" width="8.42578125" style="16" customWidth="1"/>
    <col min="4878" max="4878" width="18.85546875" style="16" customWidth="1"/>
    <col min="4879" max="4879" width="10.28515625" style="16" customWidth="1"/>
    <col min="4880" max="4880" width="11.42578125" style="16"/>
    <col min="4881" max="4881" width="12.140625" style="16" customWidth="1"/>
    <col min="4882" max="4882" width="10.5703125" style="16" customWidth="1"/>
    <col min="4883" max="4883" width="12.42578125" style="16" customWidth="1"/>
    <col min="4884" max="4884" width="15.140625" style="16" customWidth="1"/>
    <col min="4885" max="4885" width="13.5703125" style="16" customWidth="1"/>
    <col min="4886" max="4886" width="13.140625" style="16" customWidth="1"/>
    <col min="4887" max="4887" width="15.7109375" style="16" customWidth="1"/>
    <col min="4888" max="4888" width="37.5703125" style="16" customWidth="1"/>
    <col min="4889" max="5110" width="11.42578125" style="16"/>
    <col min="5111" max="5111" width="10.5703125" style="16" customWidth="1"/>
    <col min="5112" max="5112" width="4.85546875" style="16" customWidth="1"/>
    <col min="5113" max="5113" width="32.42578125" style="16" customWidth="1"/>
    <col min="5114" max="5114" width="9.85546875" style="16" customWidth="1"/>
    <col min="5115" max="5115" width="10.140625" style="16" customWidth="1"/>
    <col min="5116" max="5116" width="12.28515625" style="16" customWidth="1"/>
    <col min="5117" max="5117" width="15.42578125" style="16" customWidth="1"/>
    <col min="5118" max="5118" width="11.85546875" style="16" customWidth="1"/>
    <col min="5119" max="5119" width="13.28515625" style="16" customWidth="1"/>
    <col min="5120" max="5120" width="15.28515625" style="16" customWidth="1"/>
    <col min="5121" max="5121" width="11.85546875" style="16" customWidth="1"/>
    <col min="5122" max="5122" width="6.140625" style="16" customWidth="1"/>
    <col min="5123" max="5123" width="11.85546875" style="16" customWidth="1"/>
    <col min="5124" max="5124" width="9.42578125" style="16" customWidth="1"/>
    <col min="5125" max="5125" width="14.7109375" style="16" customWidth="1"/>
    <col min="5126" max="5126" width="11.5703125" style="16" customWidth="1"/>
    <col min="5127" max="5127" width="0.42578125" style="16" customWidth="1"/>
    <col min="5128" max="5128" width="10.5703125" style="16" bestFit="1" customWidth="1"/>
    <col min="5129" max="5129" width="12.28515625" style="16" customWidth="1"/>
    <col min="5130" max="5130" width="12.5703125" style="16" customWidth="1"/>
    <col min="5131" max="5131" width="10.5703125" style="16" customWidth="1"/>
    <col min="5132" max="5132" width="10.140625" style="16" customWidth="1"/>
    <col min="5133" max="5133" width="8.42578125" style="16" customWidth="1"/>
    <col min="5134" max="5134" width="18.85546875" style="16" customWidth="1"/>
    <col min="5135" max="5135" width="10.28515625" style="16" customWidth="1"/>
    <col min="5136" max="5136" width="11.42578125" style="16"/>
    <col min="5137" max="5137" width="12.140625" style="16" customWidth="1"/>
    <col min="5138" max="5138" width="10.5703125" style="16" customWidth="1"/>
    <col min="5139" max="5139" width="12.42578125" style="16" customWidth="1"/>
    <col min="5140" max="5140" width="15.140625" style="16" customWidth="1"/>
    <col min="5141" max="5141" width="13.5703125" style="16" customWidth="1"/>
    <col min="5142" max="5142" width="13.140625" style="16" customWidth="1"/>
    <col min="5143" max="5143" width="15.7109375" style="16" customWidth="1"/>
    <col min="5144" max="5144" width="37.5703125" style="16" customWidth="1"/>
    <col min="5145" max="5366" width="11.42578125" style="16"/>
    <col min="5367" max="5367" width="10.5703125" style="16" customWidth="1"/>
    <col min="5368" max="5368" width="4.85546875" style="16" customWidth="1"/>
    <col min="5369" max="5369" width="32.42578125" style="16" customWidth="1"/>
    <col min="5370" max="5370" width="9.85546875" style="16" customWidth="1"/>
    <col min="5371" max="5371" width="10.140625" style="16" customWidth="1"/>
    <col min="5372" max="5372" width="12.28515625" style="16" customWidth="1"/>
    <col min="5373" max="5373" width="15.42578125" style="16" customWidth="1"/>
    <col min="5374" max="5374" width="11.85546875" style="16" customWidth="1"/>
    <col min="5375" max="5375" width="13.28515625" style="16" customWidth="1"/>
    <col min="5376" max="5376" width="15.28515625" style="16" customWidth="1"/>
    <col min="5377" max="5377" width="11.85546875" style="16" customWidth="1"/>
    <col min="5378" max="5378" width="6.140625" style="16" customWidth="1"/>
    <col min="5379" max="5379" width="11.85546875" style="16" customWidth="1"/>
    <col min="5380" max="5380" width="9.42578125" style="16" customWidth="1"/>
    <col min="5381" max="5381" width="14.7109375" style="16" customWidth="1"/>
    <col min="5382" max="5382" width="11.5703125" style="16" customWidth="1"/>
    <col min="5383" max="5383" width="0.42578125" style="16" customWidth="1"/>
    <col min="5384" max="5384" width="10.5703125" style="16" bestFit="1" customWidth="1"/>
    <col min="5385" max="5385" width="12.28515625" style="16" customWidth="1"/>
    <col min="5386" max="5386" width="12.5703125" style="16" customWidth="1"/>
    <col min="5387" max="5387" width="10.5703125" style="16" customWidth="1"/>
    <col min="5388" max="5388" width="10.140625" style="16" customWidth="1"/>
    <col min="5389" max="5389" width="8.42578125" style="16" customWidth="1"/>
    <col min="5390" max="5390" width="18.85546875" style="16" customWidth="1"/>
    <col min="5391" max="5391" width="10.28515625" style="16" customWidth="1"/>
    <col min="5392" max="5392" width="11.42578125" style="16"/>
    <col min="5393" max="5393" width="12.140625" style="16" customWidth="1"/>
    <col min="5394" max="5394" width="10.5703125" style="16" customWidth="1"/>
    <col min="5395" max="5395" width="12.42578125" style="16" customWidth="1"/>
    <col min="5396" max="5396" width="15.140625" style="16" customWidth="1"/>
    <col min="5397" max="5397" width="13.5703125" style="16" customWidth="1"/>
    <col min="5398" max="5398" width="13.140625" style="16" customWidth="1"/>
    <col min="5399" max="5399" width="15.7109375" style="16" customWidth="1"/>
    <col min="5400" max="5400" width="37.5703125" style="16" customWidth="1"/>
    <col min="5401" max="5622" width="11.42578125" style="16"/>
    <col min="5623" max="5623" width="10.5703125" style="16" customWidth="1"/>
    <col min="5624" max="5624" width="4.85546875" style="16" customWidth="1"/>
    <col min="5625" max="5625" width="32.42578125" style="16" customWidth="1"/>
    <col min="5626" max="5626" width="9.85546875" style="16" customWidth="1"/>
    <col min="5627" max="5627" width="10.140625" style="16" customWidth="1"/>
    <col min="5628" max="5628" width="12.28515625" style="16" customWidth="1"/>
    <col min="5629" max="5629" width="15.42578125" style="16" customWidth="1"/>
    <col min="5630" max="5630" width="11.85546875" style="16" customWidth="1"/>
    <col min="5631" max="5631" width="13.28515625" style="16" customWidth="1"/>
    <col min="5632" max="5632" width="15.28515625" style="16" customWidth="1"/>
    <col min="5633" max="5633" width="11.85546875" style="16" customWidth="1"/>
    <col min="5634" max="5634" width="6.140625" style="16" customWidth="1"/>
    <col min="5635" max="5635" width="11.85546875" style="16" customWidth="1"/>
    <col min="5636" max="5636" width="9.42578125" style="16" customWidth="1"/>
    <col min="5637" max="5637" width="14.7109375" style="16" customWidth="1"/>
    <col min="5638" max="5638" width="11.5703125" style="16" customWidth="1"/>
    <col min="5639" max="5639" width="0.42578125" style="16" customWidth="1"/>
    <col min="5640" max="5640" width="10.5703125" style="16" bestFit="1" customWidth="1"/>
    <col min="5641" max="5641" width="12.28515625" style="16" customWidth="1"/>
    <col min="5642" max="5642" width="12.5703125" style="16" customWidth="1"/>
    <col min="5643" max="5643" width="10.5703125" style="16" customWidth="1"/>
    <col min="5644" max="5644" width="10.140625" style="16" customWidth="1"/>
    <col min="5645" max="5645" width="8.42578125" style="16" customWidth="1"/>
    <col min="5646" max="5646" width="18.85546875" style="16" customWidth="1"/>
    <col min="5647" max="5647" width="10.28515625" style="16" customWidth="1"/>
    <col min="5648" max="5648" width="11.42578125" style="16"/>
    <col min="5649" max="5649" width="12.140625" style="16" customWidth="1"/>
    <col min="5650" max="5650" width="10.5703125" style="16" customWidth="1"/>
    <col min="5651" max="5651" width="12.42578125" style="16" customWidth="1"/>
    <col min="5652" max="5652" width="15.140625" style="16" customWidth="1"/>
    <col min="5653" max="5653" width="13.5703125" style="16" customWidth="1"/>
    <col min="5654" max="5654" width="13.140625" style="16" customWidth="1"/>
    <col min="5655" max="5655" width="15.7109375" style="16" customWidth="1"/>
    <col min="5656" max="5656" width="37.5703125" style="16" customWidth="1"/>
    <col min="5657" max="5878" width="11.42578125" style="16"/>
    <col min="5879" max="5879" width="10.5703125" style="16" customWidth="1"/>
    <col min="5880" max="5880" width="4.85546875" style="16" customWidth="1"/>
    <col min="5881" max="5881" width="32.42578125" style="16" customWidth="1"/>
    <col min="5882" max="5882" width="9.85546875" style="16" customWidth="1"/>
    <col min="5883" max="5883" width="10.140625" style="16" customWidth="1"/>
    <col min="5884" max="5884" width="12.28515625" style="16" customWidth="1"/>
    <col min="5885" max="5885" width="15.42578125" style="16" customWidth="1"/>
    <col min="5886" max="5886" width="11.85546875" style="16" customWidth="1"/>
    <col min="5887" max="5887" width="13.28515625" style="16" customWidth="1"/>
    <col min="5888" max="5888" width="15.28515625" style="16" customWidth="1"/>
    <col min="5889" max="5889" width="11.85546875" style="16" customWidth="1"/>
    <col min="5890" max="5890" width="6.140625" style="16" customWidth="1"/>
    <col min="5891" max="5891" width="11.85546875" style="16" customWidth="1"/>
    <col min="5892" max="5892" width="9.42578125" style="16" customWidth="1"/>
    <col min="5893" max="5893" width="14.7109375" style="16" customWidth="1"/>
    <col min="5894" max="5894" width="11.5703125" style="16" customWidth="1"/>
    <col min="5895" max="5895" width="0.42578125" style="16" customWidth="1"/>
    <col min="5896" max="5896" width="10.5703125" style="16" bestFit="1" customWidth="1"/>
    <col min="5897" max="5897" width="12.28515625" style="16" customWidth="1"/>
    <col min="5898" max="5898" width="12.5703125" style="16" customWidth="1"/>
    <col min="5899" max="5899" width="10.5703125" style="16" customWidth="1"/>
    <col min="5900" max="5900" width="10.140625" style="16" customWidth="1"/>
    <col min="5901" max="5901" width="8.42578125" style="16" customWidth="1"/>
    <col min="5902" max="5902" width="18.85546875" style="16" customWidth="1"/>
    <col min="5903" max="5903" width="10.28515625" style="16" customWidth="1"/>
    <col min="5904" max="5904" width="11.42578125" style="16"/>
    <col min="5905" max="5905" width="12.140625" style="16" customWidth="1"/>
    <col min="5906" max="5906" width="10.5703125" style="16" customWidth="1"/>
    <col min="5907" max="5907" width="12.42578125" style="16" customWidth="1"/>
    <col min="5908" max="5908" width="15.140625" style="16" customWidth="1"/>
    <col min="5909" max="5909" width="13.5703125" style="16" customWidth="1"/>
    <col min="5910" max="5910" width="13.140625" style="16" customWidth="1"/>
    <col min="5911" max="5911" width="15.7109375" style="16" customWidth="1"/>
    <col min="5912" max="5912" width="37.5703125" style="16" customWidth="1"/>
    <col min="5913" max="6134" width="11.42578125" style="16"/>
    <col min="6135" max="6135" width="10.5703125" style="16" customWidth="1"/>
    <col min="6136" max="6136" width="4.85546875" style="16" customWidth="1"/>
    <col min="6137" max="6137" width="32.42578125" style="16" customWidth="1"/>
    <col min="6138" max="6138" width="9.85546875" style="16" customWidth="1"/>
    <col min="6139" max="6139" width="10.140625" style="16" customWidth="1"/>
    <col min="6140" max="6140" width="12.28515625" style="16" customWidth="1"/>
    <col min="6141" max="6141" width="15.42578125" style="16" customWidth="1"/>
    <col min="6142" max="6142" width="11.85546875" style="16" customWidth="1"/>
    <col min="6143" max="6143" width="13.28515625" style="16" customWidth="1"/>
    <col min="6144" max="6144" width="15.28515625" style="16" customWidth="1"/>
    <col min="6145" max="6145" width="11.85546875" style="16" customWidth="1"/>
    <col min="6146" max="6146" width="6.140625" style="16" customWidth="1"/>
    <col min="6147" max="6147" width="11.85546875" style="16" customWidth="1"/>
    <col min="6148" max="6148" width="9.42578125" style="16" customWidth="1"/>
    <col min="6149" max="6149" width="14.7109375" style="16" customWidth="1"/>
    <col min="6150" max="6150" width="11.5703125" style="16" customWidth="1"/>
    <col min="6151" max="6151" width="0.42578125" style="16" customWidth="1"/>
    <col min="6152" max="6152" width="10.5703125" style="16" bestFit="1" customWidth="1"/>
    <col min="6153" max="6153" width="12.28515625" style="16" customWidth="1"/>
    <col min="6154" max="6154" width="12.5703125" style="16" customWidth="1"/>
    <col min="6155" max="6155" width="10.5703125" style="16" customWidth="1"/>
    <col min="6156" max="6156" width="10.140625" style="16" customWidth="1"/>
    <col min="6157" max="6157" width="8.42578125" style="16" customWidth="1"/>
    <col min="6158" max="6158" width="18.85546875" style="16" customWidth="1"/>
    <col min="6159" max="6159" width="10.28515625" style="16" customWidth="1"/>
    <col min="6160" max="6160" width="11.42578125" style="16"/>
    <col min="6161" max="6161" width="12.140625" style="16" customWidth="1"/>
    <col min="6162" max="6162" width="10.5703125" style="16" customWidth="1"/>
    <col min="6163" max="6163" width="12.42578125" style="16" customWidth="1"/>
    <col min="6164" max="6164" width="15.140625" style="16" customWidth="1"/>
    <col min="6165" max="6165" width="13.5703125" style="16" customWidth="1"/>
    <col min="6166" max="6166" width="13.140625" style="16" customWidth="1"/>
    <col min="6167" max="6167" width="15.7109375" style="16" customWidth="1"/>
    <col min="6168" max="6168" width="37.5703125" style="16" customWidth="1"/>
    <col min="6169" max="6390" width="11.42578125" style="16"/>
    <col min="6391" max="6391" width="10.5703125" style="16" customWidth="1"/>
    <col min="6392" max="6392" width="4.85546875" style="16" customWidth="1"/>
    <col min="6393" max="6393" width="32.42578125" style="16" customWidth="1"/>
    <col min="6394" max="6394" width="9.85546875" style="16" customWidth="1"/>
    <col min="6395" max="6395" width="10.140625" style="16" customWidth="1"/>
    <col min="6396" max="6396" width="12.28515625" style="16" customWidth="1"/>
    <col min="6397" max="6397" width="15.42578125" style="16" customWidth="1"/>
    <col min="6398" max="6398" width="11.85546875" style="16" customWidth="1"/>
    <col min="6399" max="6399" width="13.28515625" style="16" customWidth="1"/>
    <col min="6400" max="6400" width="15.28515625" style="16" customWidth="1"/>
    <col min="6401" max="6401" width="11.85546875" style="16" customWidth="1"/>
    <col min="6402" max="6402" width="6.140625" style="16" customWidth="1"/>
    <col min="6403" max="6403" width="11.85546875" style="16" customWidth="1"/>
    <col min="6404" max="6404" width="9.42578125" style="16" customWidth="1"/>
    <col min="6405" max="6405" width="14.7109375" style="16" customWidth="1"/>
    <col min="6406" max="6406" width="11.5703125" style="16" customWidth="1"/>
    <col min="6407" max="6407" width="0.42578125" style="16" customWidth="1"/>
    <col min="6408" max="6408" width="10.5703125" style="16" bestFit="1" customWidth="1"/>
    <col min="6409" max="6409" width="12.28515625" style="16" customWidth="1"/>
    <col min="6410" max="6410" width="12.5703125" style="16" customWidth="1"/>
    <col min="6411" max="6411" width="10.5703125" style="16" customWidth="1"/>
    <col min="6412" max="6412" width="10.140625" style="16" customWidth="1"/>
    <col min="6413" max="6413" width="8.42578125" style="16" customWidth="1"/>
    <col min="6414" max="6414" width="18.85546875" style="16" customWidth="1"/>
    <col min="6415" max="6415" width="10.28515625" style="16" customWidth="1"/>
    <col min="6416" max="6416" width="11.42578125" style="16"/>
    <col min="6417" max="6417" width="12.140625" style="16" customWidth="1"/>
    <col min="6418" max="6418" width="10.5703125" style="16" customWidth="1"/>
    <col min="6419" max="6419" width="12.42578125" style="16" customWidth="1"/>
    <col min="6420" max="6420" width="15.140625" style="16" customWidth="1"/>
    <col min="6421" max="6421" width="13.5703125" style="16" customWidth="1"/>
    <col min="6422" max="6422" width="13.140625" style="16" customWidth="1"/>
    <col min="6423" max="6423" width="15.7109375" style="16" customWidth="1"/>
    <col min="6424" max="6424" width="37.5703125" style="16" customWidth="1"/>
    <col min="6425" max="6646" width="11.42578125" style="16"/>
    <col min="6647" max="6647" width="10.5703125" style="16" customWidth="1"/>
    <col min="6648" max="6648" width="4.85546875" style="16" customWidth="1"/>
    <col min="6649" max="6649" width="32.42578125" style="16" customWidth="1"/>
    <col min="6650" max="6650" width="9.85546875" style="16" customWidth="1"/>
    <col min="6651" max="6651" width="10.140625" style="16" customWidth="1"/>
    <col min="6652" max="6652" width="12.28515625" style="16" customWidth="1"/>
    <col min="6653" max="6653" width="15.42578125" style="16" customWidth="1"/>
    <col min="6654" max="6654" width="11.85546875" style="16" customWidth="1"/>
    <col min="6655" max="6655" width="13.28515625" style="16" customWidth="1"/>
    <col min="6656" max="6656" width="15.28515625" style="16" customWidth="1"/>
    <col min="6657" max="6657" width="11.85546875" style="16" customWidth="1"/>
    <col min="6658" max="6658" width="6.140625" style="16" customWidth="1"/>
    <col min="6659" max="6659" width="11.85546875" style="16" customWidth="1"/>
    <col min="6660" max="6660" width="9.42578125" style="16" customWidth="1"/>
    <col min="6661" max="6661" width="14.7109375" style="16" customWidth="1"/>
    <col min="6662" max="6662" width="11.5703125" style="16" customWidth="1"/>
    <col min="6663" max="6663" width="0.42578125" style="16" customWidth="1"/>
    <col min="6664" max="6664" width="10.5703125" style="16" bestFit="1" customWidth="1"/>
    <col min="6665" max="6665" width="12.28515625" style="16" customWidth="1"/>
    <col min="6666" max="6666" width="12.5703125" style="16" customWidth="1"/>
    <col min="6667" max="6667" width="10.5703125" style="16" customWidth="1"/>
    <col min="6668" max="6668" width="10.140625" style="16" customWidth="1"/>
    <col min="6669" max="6669" width="8.42578125" style="16" customWidth="1"/>
    <col min="6670" max="6670" width="18.85546875" style="16" customWidth="1"/>
    <col min="6671" max="6671" width="10.28515625" style="16" customWidth="1"/>
    <col min="6672" max="6672" width="11.42578125" style="16"/>
    <col min="6673" max="6673" width="12.140625" style="16" customWidth="1"/>
    <col min="6674" max="6674" width="10.5703125" style="16" customWidth="1"/>
    <col min="6675" max="6675" width="12.42578125" style="16" customWidth="1"/>
    <col min="6676" max="6676" width="15.140625" style="16" customWidth="1"/>
    <col min="6677" max="6677" width="13.5703125" style="16" customWidth="1"/>
    <col min="6678" max="6678" width="13.140625" style="16" customWidth="1"/>
    <col min="6679" max="6679" width="15.7109375" style="16" customWidth="1"/>
    <col min="6680" max="6680" width="37.5703125" style="16" customWidth="1"/>
    <col min="6681" max="6902" width="11.42578125" style="16"/>
    <col min="6903" max="6903" width="10.5703125" style="16" customWidth="1"/>
    <col min="6904" max="6904" width="4.85546875" style="16" customWidth="1"/>
    <col min="6905" max="6905" width="32.42578125" style="16" customWidth="1"/>
    <col min="6906" max="6906" width="9.85546875" style="16" customWidth="1"/>
    <col min="6907" max="6907" width="10.140625" style="16" customWidth="1"/>
    <col min="6908" max="6908" width="12.28515625" style="16" customWidth="1"/>
    <col min="6909" max="6909" width="15.42578125" style="16" customWidth="1"/>
    <col min="6910" max="6910" width="11.85546875" style="16" customWidth="1"/>
    <col min="6911" max="6911" width="13.28515625" style="16" customWidth="1"/>
    <col min="6912" max="6912" width="15.28515625" style="16" customWidth="1"/>
    <col min="6913" max="6913" width="11.85546875" style="16" customWidth="1"/>
    <col min="6914" max="6914" width="6.140625" style="16" customWidth="1"/>
    <col min="6915" max="6915" width="11.85546875" style="16" customWidth="1"/>
    <col min="6916" max="6916" width="9.42578125" style="16" customWidth="1"/>
    <col min="6917" max="6917" width="14.7109375" style="16" customWidth="1"/>
    <col min="6918" max="6918" width="11.5703125" style="16" customWidth="1"/>
    <col min="6919" max="6919" width="0.42578125" style="16" customWidth="1"/>
    <col min="6920" max="6920" width="10.5703125" style="16" bestFit="1" customWidth="1"/>
    <col min="6921" max="6921" width="12.28515625" style="16" customWidth="1"/>
    <col min="6922" max="6922" width="12.5703125" style="16" customWidth="1"/>
    <col min="6923" max="6923" width="10.5703125" style="16" customWidth="1"/>
    <col min="6924" max="6924" width="10.140625" style="16" customWidth="1"/>
    <col min="6925" max="6925" width="8.42578125" style="16" customWidth="1"/>
    <col min="6926" max="6926" width="18.85546875" style="16" customWidth="1"/>
    <col min="6927" max="6927" width="10.28515625" style="16" customWidth="1"/>
    <col min="6928" max="6928" width="11.42578125" style="16"/>
    <col min="6929" max="6929" width="12.140625" style="16" customWidth="1"/>
    <col min="6930" max="6930" width="10.5703125" style="16" customWidth="1"/>
    <col min="6931" max="6931" width="12.42578125" style="16" customWidth="1"/>
    <col min="6932" max="6932" width="15.140625" style="16" customWidth="1"/>
    <col min="6933" max="6933" width="13.5703125" style="16" customWidth="1"/>
    <col min="6934" max="6934" width="13.140625" style="16" customWidth="1"/>
    <col min="6935" max="6935" width="15.7109375" style="16" customWidth="1"/>
    <col min="6936" max="6936" width="37.5703125" style="16" customWidth="1"/>
    <col min="6937" max="7158" width="11.42578125" style="16"/>
    <col min="7159" max="7159" width="10.5703125" style="16" customWidth="1"/>
    <col min="7160" max="7160" width="4.85546875" style="16" customWidth="1"/>
    <col min="7161" max="7161" width="32.42578125" style="16" customWidth="1"/>
    <col min="7162" max="7162" width="9.85546875" style="16" customWidth="1"/>
    <col min="7163" max="7163" width="10.140625" style="16" customWidth="1"/>
    <col min="7164" max="7164" width="12.28515625" style="16" customWidth="1"/>
    <col min="7165" max="7165" width="15.42578125" style="16" customWidth="1"/>
    <col min="7166" max="7166" width="11.85546875" style="16" customWidth="1"/>
    <col min="7167" max="7167" width="13.28515625" style="16" customWidth="1"/>
    <col min="7168" max="7168" width="15.28515625" style="16" customWidth="1"/>
    <col min="7169" max="7169" width="11.85546875" style="16" customWidth="1"/>
    <col min="7170" max="7170" width="6.140625" style="16" customWidth="1"/>
    <col min="7171" max="7171" width="11.85546875" style="16" customWidth="1"/>
    <col min="7172" max="7172" width="9.42578125" style="16" customWidth="1"/>
    <col min="7173" max="7173" width="14.7109375" style="16" customWidth="1"/>
    <col min="7174" max="7174" width="11.5703125" style="16" customWidth="1"/>
    <col min="7175" max="7175" width="0.42578125" style="16" customWidth="1"/>
    <col min="7176" max="7176" width="10.5703125" style="16" bestFit="1" customWidth="1"/>
    <col min="7177" max="7177" width="12.28515625" style="16" customWidth="1"/>
    <col min="7178" max="7178" width="12.5703125" style="16" customWidth="1"/>
    <col min="7179" max="7179" width="10.5703125" style="16" customWidth="1"/>
    <col min="7180" max="7180" width="10.140625" style="16" customWidth="1"/>
    <col min="7181" max="7181" width="8.42578125" style="16" customWidth="1"/>
    <col min="7182" max="7182" width="18.85546875" style="16" customWidth="1"/>
    <col min="7183" max="7183" width="10.28515625" style="16" customWidth="1"/>
    <col min="7184" max="7184" width="11.42578125" style="16"/>
    <col min="7185" max="7185" width="12.140625" style="16" customWidth="1"/>
    <col min="7186" max="7186" width="10.5703125" style="16" customWidth="1"/>
    <col min="7187" max="7187" width="12.42578125" style="16" customWidth="1"/>
    <col min="7188" max="7188" width="15.140625" style="16" customWidth="1"/>
    <col min="7189" max="7189" width="13.5703125" style="16" customWidth="1"/>
    <col min="7190" max="7190" width="13.140625" style="16" customWidth="1"/>
    <col min="7191" max="7191" width="15.7109375" style="16" customWidth="1"/>
    <col min="7192" max="7192" width="37.5703125" style="16" customWidth="1"/>
    <col min="7193" max="7414" width="11.42578125" style="16"/>
    <col min="7415" max="7415" width="10.5703125" style="16" customWidth="1"/>
    <col min="7416" max="7416" width="4.85546875" style="16" customWidth="1"/>
    <col min="7417" max="7417" width="32.42578125" style="16" customWidth="1"/>
    <col min="7418" max="7418" width="9.85546875" style="16" customWidth="1"/>
    <col min="7419" max="7419" width="10.140625" style="16" customWidth="1"/>
    <col min="7420" max="7420" width="12.28515625" style="16" customWidth="1"/>
    <col min="7421" max="7421" width="15.42578125" style="16" customWidth="1"/>
    <col min="7422" max="7422" width="11.85546875" style="16" customWidth="1"/>
    <col min="7423" max="7423" width="13.28515625" style="16" customWidth="1"/>
    <col min="7424" max="7424" width="15.28515625" style="16" customWidth="1"/>
    <col min="7425" max="7425" width="11.85546875" style="16" customWidth="1"/>
    <col min="7426" max="7426" width="6.140625" style="16" customWidth="1"/>
    <col min="7427" max="7427" width="11.85546875" style="16" customWidth="1"/>
    <col min="7428" max="7428" width="9.42578125" style="16" customWidth="1"/>
    <col min="7429" max="7429" width="14.7109375" style="16" customWidth="1"/>
    <col min="7430" max="7430" width="11.5703125" style="16" customWidth="1"/>
    <col min="7431" max="7431" width="0.42578125" style="16" customWidth="1"/>
    <col min="7432" max="7432" width="10.5703125" style="16" bestFit="1" customWidth="1"/>
    <col min="7433" max="7433" width="12.28515625" style="16" customWidth="1"/>
    <col min="7434" max="7434" width="12.5703125" style="16" customWidth="1"/>
    <col min="7435" max="7435" width="10.5703125" style="16" customWidth="1"/>
    <col min="7436" max="7436" width="10.140625" style="16" customWidth="1"/>
    <col min="7437" max="7437" width="8.42578125" style="16" customWidth="1"/>
    <col min="7438" max="7438" width="18.85546875" style="16" customWidth="1"/>
    <col min="7439" max="7439" width="10.28515625" style="16" customWidth="1"/>
    <col min="7440" max="7440" width="11.42578125" style="16"/>
    <col min="7441" max="7441" width="12.140625" style="16" customWidth="1"/>
    <col min="7442" max="7442" width="10.5703125" style="16" customWidth="1"/>
    <col min="7443" max="7443" width="12.42578125" style="16" customWidth="1"/>
    <col min="7444" max="7444" width="15.140625" style="16" customWidth="1"/>
    <col min="7445" max="7445" width="13.5703125" style="16" customWidth="1"/>
    <col min="7446" max="7446" width="13.140625" style="16" customWidth="1"/>
    <col min="7447" max="7447" width="15.7109375" style="16" customWidth="1"/>
    <col min="7448" max="7448" width="37.5703125" style="16" customWidth="1"/>
    <col min="7449" max="7670" width="11.42578125" style="16"/>
    <col min="7671" max="7671" width="10.5703125" style="16" customWidth="1"/>
    <col min="7672" max="7672" width="4.85546875" style="16" customWidth="1"/>
    <col min="7673" max="7673" width="32.42578125" style="16" customWidth="1"/>
    <col min="7674" max="7674" width="9.85546875" style="16" customWidth="1"/>
    <col min="7675" max="7675" width="10.140625" style="16" customWidth="1"/>
    <col min="7676" max="7676" width="12.28515625" style="16" customWidth="1"/>
    <col min="7677" max="7677" width="15.42578125" style="16" customWidth="1"/>
    <col min="7678" max="7678" width="11.85546875" style="16" customWidth="1"/>
    <col min="7679" max="7679" width="13.28515625" style="16" customWidth="1"/>
    <col min="7680" max="7680" width="15.28515625" style="16" customWidth="1"/>
    <col min="7681" max="7681" width="11.85546875" style="16" customWidth="1"/>
    <col min="7682" max="7682" width="6.140625" style="16" customWidth="1"/>
    <col min="7683" max="7683" width="11.85546875" style="16" customWidth="1"/>
    <col min="7684" max="7684" width="9.42578125" style="16" customWidth="1"/>
    <col min="7685" max="7685" width="14.7109375" style="16" customWidth="1"/>
    <col min="7686" max="7686" width="11.5703125" style="16" customWidth="1"/>
    <col min="7687" max="7687" width="0.42578125" style="16" customWidth="1"/>
    <col min="7688" max="7688" width="10.5703125" style="16" bestFit="1" customWidth="1"/>
    <col min="7689" max="7689" width="12.28515625" style="16" customWidth="1"/>
    <col min="7690" max="7690" width="12.5703125" style="16" customWidth="1"/>
    <col min="7691" max="7691" width="10.5703125" style="16" customWidth="1"/>
    <col min="7692" max="7692" width="10.140625" style="16" customWidth="1"/>
    <col min="7693" max="7693" width="8.42578125" style="16" customWidth="1"/>
    <col min="7694" max="7694" width="18.85546875" style="16" customWidth="1"/>
    <col min="7695" max="7695" width="10.28515625" style="16" customWidth="1"/>
    <col min="7696" max="7696" width="11.42578125" style="16"/>
    <col min="7697" max="7697" width="12.140625" style="16" customWidth="1"/>
    <col min="7698" max="7698" width="10.5703125" style="16" customWidth="1"/>
    <col min="7699" max="7699" width="12.42578125" style="16" customWidth="1"/>
    <col min="7700" max="7700" width="15.140625" style="16" customWidth="1"/>
    <col min="7701" max="7701" width="13.5703125" style="16" customWidth="1"/>
    <col min="7702" max="7702" width="13.140625" style="16" customWidth="1"/>
    <col min="7703" max="7703" width="15.7109375" style="16" customWidth="1"/>
    <col min="7704" max="7704" width="37.5703125" style="16" customWidth="1"/>
    <col min="7705" max="7926" width="11.42578125" style="16"/>
    <col min="7927" max="7927" width="10.5703125" style="16" customWidth="1"/>
    <col min="7928" max="7928" width="4.85546875" style="16" customWidth="1"/>
    <col min="7929" max="7929" width="32.42578125" style="16" customWidth="1"/>
    <col min="7930" max="7930" width="9.85546875" style="16" customWidth="1"/>
    <col min="7931" max="7931" width="10.140625" style="16" customWidth="1"/>
    <col min="7932" max="7932" width="12.28515625" style="16" customWidth="1"/>
    <col min="7933" max="7933" width="15.42578125" style="16" customWidth="1"/>
    <col min="7934" max="7934" width="11.85546875" style="16" customWidth="1"/>
    <col min="7935" max="7935" width="13.28515625" style="16" customWidth="1"/>
    <col min="7936" max="7936" width="15.28515625" style="16" customWidth="1"/>
    <col min="7937" max="7937" width="11.85546875" style="16" customWidth="1"/>
    <col min="7938" max="7938" width="6.140625" style="16" customWidth="1"/>
    <col min="7939" max="7939" width="11.85546875" style="16" customWidth="1"/>
    <col min="7940" max="7940" width="9.42578125" style="16" customWidth="1"/>
    <col min="7941" max="7941" width="14.7109375" style="16" customWidth="1"/>
    <col min="7942" max="7942" width="11.5703125" style="16" customWidth="1"/>
    <col min="7943" max="7943" width="0.42578125" style="16" customWidth="1"/>
    <col min="7944" max="7944" width="10.5703125" style="16" bestFit="1" customWidth="1"/>
    <col min="7945" max="7945" width="12.28515625" style="16" customWidth="1"/>
    <col min="7946" max="7946" width="12.5703125" style="16" customWidth="1"/>
    <col min="7947" max="7947" width="10.5703125" style="16" customWidth="1"/>
    <col min="7948" max="7948" width="10.140625" style="16" customWidth="1"/>
    <col min="7949" max="7949" width="8.42578125" style="16" customWidth="1"/>
    <col min="7950" max="7950" width="18.85546875" style="16" customWidth="1"/>
    <col min="7951" max="7951" width="10.28515625" style="16" customWidth="1"/>
    <col min="7952" max="7952" width="11.42578125" style="16"/>
    <col min="7953" max="7953" width="12.140625" style="16" customWidth="1"/>
    <col min="7954" max="7954" width="10.5703125" style="16" customWidth="1"/>
    <col min="7955" max="7955" width="12.42578125" style="16" customWidth="1"/>
    <col min="7956" max="7956" width="15.140625" style="16" customWidth="1"/>
    <col min="7957" max="7957" width="13.5703125" style="16" customWidth="1"/>
    <col min="7958" max="7958" width="13.140625" style="16" customWidth="1"/>
    <col min="7959" max="7959" width="15.7109375" style="16" customWidth="1"/>
    <col min="7960" max="7960" width="37.5703125" style="16" customWidth="1"/>
    <col min="7961" max="8182" width="11.42578125" style="16"/>
    <col min="8183" max="8183" width="10.5703125" style="16" customWidth="1"/>
    <col min="8184" max="8184" width="4.85546875" style="16" customWidth="1"/>
    <col min="8185" max="8185" width="32.42578125" style="16" customWidth="1"/>
    <col min="8186" max="8186" width="9.85546875" style="16" customWidth="1"/>
    <col min="8187" max="8187" width="10.140625" style="16" customWidth="1"/>
    <col min="8188" max="8188" width="12.28515625" style="16" customWidth="1"/>
    <col min="8189" max="8189" width="15.42578125" style="16" customWidth="1"/>
    <col min="8190" max="8190" width="11.85546875" style="16" customWidth="1"/>
    <col min="8191" max="8191" width="13.28515625" style="16" customWidth="1"/>
    <col min="8192" max="8192" width="15.28515625" style="16" customWidth="1"/>
    <col min="8193" max="8193" width="11.85546875" style="16" customWidth="1"/>
    <col min="8194" max="8194" width="6.140625" style="16" customWidth="1"/>
    <col min="8195" max="8195" width="11.85546875" style="16" customWidth="1"/>
    <col min="8196" max="8196" width="9.42578125" style="16" customWidth="1"/>
    <col min="8197" max="8197" width="14.7109375" style="16" customWidth="1"/>
    <col min="8198" max="8198" width="11.5703125" style="16" customWidth="1"/>
    <col min="8199" max="8199" width="0.42578125" style="16" customWidth="1"/>
    <col min="8200" max="8200" width="10.5703125" style="16" bestFit="1" customWidth="1"/>
    <col min="8201" max="8201" width="12.28515625" style="16" customWidth="1"/>
    <col min="8202" max="8202" width="12.5703125" style="16" customWidth="1"/>
    <col min="8203" max="8203" width="10.5703125" style="16" customWidth="1"/>
    <col min="8204" max="8204" width="10.140625" style="16" customWidth="1"/>
    <col min="8205" max="8205" width="8.42578125" style="16" customWidth="1"/>
    <col min="8206" max="8206" width="18.85546875" style="16" customWidth="1"/>
    <col min="8207" max="8207" width="10.28515625" style="16" customWidth="1"/>
    <col min="8208" max="8208" width="11.42578125" style="16"/>
    <col min="8209" max="8209" width="12.140625" style="16" customWidth="1"/>
    <col min="8210" max="8210" width="10.5703125" style="16" customWidth="1"/>
    <col min="8211" max="8211" width="12.42578125" style="16" customWidth="1"/>
    <col min="8212" max="8212" width="15.140625" style="16" customWidth="1"/>
    <col min="8213" max="8213" width="13.5703125" style="16" customWidth="1"/>
    <col min="8214" max="8214" width="13.140625" style="16" customWidth="1"/>
    <col min="8215" max="8215" width="15.7109375" style="16" customWidth="1"/>
    <col min="8216" max="8216" width="37.5703125" style="16" customWidth="1"/>
    <col min="8217" max="8438" width="11.42578125" style="16"/>
    <col min="8439" max="8439" width="10.5703125" style="16" customWidth="1"/>
    <col min="8440" max="8440" width="4.85546875" style="16" customWidth="1"/>
    <col min="8441" max="8441" width="32.42578125" style="16" customWidth="1"/>
    <col min="8442" max="8442" width="9.85546875" style="16" customWidth="1"/>
    <col min="8443" max="8443" width="10.140625" style="16" customWidth="1"/>
    <col min="8444" max="8444" width="12.28515625" style="16" customWidth="1"/>
    <col min="8445" max="8445" width="15.42578125" style="16" customWidth="1"/>
    <col min="8446" max="8446" width="11.85546875" style="16" customWidth="1"/>
    <col min="8447" max="8447" width="13.28515625" style="16" customWidth="1"/>
    <col min="8448" max="8448" width="15.28515625" style="16" customWidth="1"/>
    <col min="8449" max="8449" width="11.85546875" style="16" customWidth="1"/>
    <col min="8450" max="8450" width="6.140625" style="16" customWidth="1"/>
    <col min="8451" max="8451" width="11.85546875" style="16" customWidth="1"/>
    <col min="8452" max="8452" width="9.42578125" style="16" customWidth="1"/>
    <col min="8453" max="8453" width="14.7109375" style="16" customWidth="1"/>
    <col min="8454" max="8454" width="11.5703125" style="16" customWidth="1"/>
    <col min="8455" max="8455" width="0.42578125" style="16" customWidth="1"/>
    <col min="8456" max="8456" width="10.5703125" style="16" bestFit="1" customWidth="1"/>
    <col min="8457" max="8457" width="12.28515625" style="16" customWidth="1"/>
    <col min="8458" max="8458" width="12.5703125" style="16" customWidth="1"/>
    <col min="8459" max="8459" width="10.5703125" style="16" customWidth="1"/>
    <col min="8460" max="8460" width="10.140625" style="16" customWidth="1"/>
    <col min="8461" max="8461" width="8.42578125" style="16" customWidth="1"/>
    <col min="8462" max="8462" width="18.85546875" style="16" customWidth="1"/>
    <col min="8463" max="8463" width="10.28515625" style="16" customWidth="1"/>
    <col min="8464" max="8464" width="11.42578125" style="16"/>
    <col min="8465" max="8465" width="12.140625" style="16" customWidth="1"/>
    <col min="8466" max="8466" width="10.5703125" style="16" customWidth="1"/>
    <col min="8467" max="8467" width="12.42578125" style="16" customWidth="1"/>
    <col min="8468" max="8468" width="15.140625" style="16" customWidth="1"/>
    <col min="8469" max="8469" width="13.5703125" style="16" customWidth="1"/>
    <col min="8470" max="8470" width="13.140625" style="16" customWidth="1"/>
    <col min="8471" max="8471" width="15.7109375" style="16" customWidth="1"/>
    <col min="8472" max="8472" width="37.5703125" style="16" customWidth="1"/>
    <col min="8473" max="8694" width="11.42578125" style="16"/>
    <col min="8695" max="8695" width="10.5703125" style="16" customWidth="1"/>
    <col min="8696" max="8696" width="4.85546875" style="16" customWidth="1"/>
    <col min="8697" max="8697" width="32.42578125" style="16" customWidth="1"/>
    <col min="8698" max="8698" width="9.85546875" style="16" customWidth="1"/>
    <col min="8699" max="8699" width="10.140625" style="16" customWidth="1"/>
    <col min="8700" max="8700" width="12.28515625" style="16" customWidth="1"/>
    <col min="8701" max="8701" width="15.42578125" style="16" customWidth="1"/>
    <col min="8702" max="8702" width="11.85546875" style="16" customWidth="1"/>
    <col min="8703" max="8703" width="13.28515625" style="16" customWidth="1"/>
    <col min="8704" max="8704" width="15.28515625" style="16" customWidth="1"/>
    <col min="8705" max="8705" width="11.85546875" style="16" customWidth="1"/>
    <col min="8706" max="8706" width="6.140625" style="16" customWidth="1"/>
    <col min="8707" max="8707" width="11.85546875" style="16" customWidth="1"/>
    <col min="8708" max="8708" width="9.42578125" style="16" customWidth="1"/>
    <col min="8709" max="8709" width="14.7109375" style="16" customWidth="1"/>
    <col min="8710" max="8710" width="11.5703125" style="16" customWidth="1"/>
    <col min="8711" max="8711" width="0.42578125" style="16" customWidth="1"/>
    <col min="8712" max="8712" width="10.5703125" style="16" bestFit="1" customWidth="1"/>
    <col min="8713" max="8713" width="12.28515625" style="16" customWidth="1"/>
    <col min="8714" max="8714" width="12.5703125" style="16" customWidth="1"/>
    <col min="8715" max="8715" width="10.5703125" style="16" customWidth="1"/>
    <col min="8716" max="8716" width="10.140625" style="16" customWidth="1"/>
    <col min="8717" max="8717" width="8.42578125" style="16" customWidth="1"/>
    <col min="8718" max="8718" width="18.85546875" style="16" customWidth="1"/>
    <col min="8719" max="8719" width="10.28515625" style="16" customWidth="1"/>
    <col min="8720" max="8720" width="11.42578125" style="16"/>
    <col min="8721" max="8721" width="12.140625" style="16" customWidth="1"/>
    <col min="8722" max="8722" width="10.5703125" style="16" customWidth="1"/>
    <col min="8723" max="8723" width="12.42578125" style="16" customWidth="1"/>
    <col min="8724" max="8724" width="15.140625" style="16" customWidth="1"/>
    <col min="8725" max="8725" width="13.5703125" style="16" customWidth="1"/>
    <col min="8726" max="8726" width="13.140625" style="16" customWidth="1"/>
    <col min="8727" max="8727" width="15.7109375" style="16" customWidth="1"/>
    <col min="8728" max="8728" width="37.5703125" style="16" customWidth="1"/>
    <col min="8729" max="8950" width="11.42578125" style="16"/>
    <col min="8951" max="8951" width="10.5703125" style="16" customWidth="1"/>
    <col min="8952" max="8952" width="4.85546875" style="16" customWidth="1"/>
    <col min="8953" max="8953" width="32.42578125" style="16" customWidth="1"/>
    <col min="8954" max="8954" width="9.85546875" style="16" customWidth="1"/>
    <col min="8955" max="8955" width="10.140625" style="16" customWidth="1"/>
    <col min="8956" max="8956" width="12.28515625" style="16" customWidth="1"/>
    <col min="8957" max="8957" width="15.42578125" style="16" customWidth="1"/>
    <col min="8958" max="8958" width="11.85546875" style="16" customWidth="1"/>
    <col min="8959" max="8959" width="13.28515625" style="16" customWidth="1"/>
    <col min="8960" max="8960" width="15.28515625" style="16" customWidth="1"/>
    <col min="8961" max="8961" width="11.85546875" style="16" customWidth="1"/>
    <col min="8962" max="8962" width="6.140625" style="16" customWidth="1"/>
    <col min="8963" max="8963" width="11.85546875" style="16" customWidth="1"/>
    <col min="8964" max="8964" width="9.42578125" style="16" customWidth="1"/>
    <col min="8965" max="8965" width="14.7109375" style="16" customWidth="1"/>
    <col min="8966" max="8966" width="11.5703125" style="16" customWidth="1"/>
    <col min="8967" max="8967" width="0.42578125" style="16" customWidth="1"/>
    <col min="8968" max="8968" width="10.5703125" style="16" bestFit="1" customWidth="1"/>
    <col min="8969" max="8969" width="12.28515625" style="16" customWidth="1"/>
    <col min="8970" max="8970" width="12.5703125" style="16" customWidth="1"/>
    <col min="8971" max="8971" width="10.5703125" style="16" customWidth="1"/>
    <col min="8972" max="8972" width="10.140625" style="16" customWidth="1"/>
    <col min="8973" max="8973" width="8.42578125" style="16" customWidth="1"/>
    <col min="8974" max="8974" width="18.85546875" style="16" customWidth="1"/>
    <col min="8975" max="8975" width="10.28515625" style="16" customWidth="1"/>
    <col min="8976" max="8976" width="11.42578125" style="16"/>
    <col min="8977" max="8977" width="12.140625" style="16" customWidth="1"/>
    <col min="8978" max="8978" width="10.5703125" style="16" customWidth="1"/>
    <col min="8979" max="8979" width="12.42578125" style="16" customWidth="1"/>
    <col min="8980" max="8980" width="15.140625" style="16" customWidth="1"/>
    <col min="8981" max="8981" width="13.5703125" style="16" customWidth="1"/>
    <col min="8982" max="8982" width="13.140625" style="16" customWidth="1"/>
    <col min="8983" max="8983" width="15.7109375" style="16" customWidth="1"/>
    <col min="8984" max="8984" width="37.5703125" style="16" customWidth="1"/>
    <col min="8985" max="9206" width="11.42578125" style="16"/>
    <col min="9207" max="9207" width="10.5703125" style="16" customWidth="1"/>
    <col min="9208" max="9208" width="4.85546875" style="16" customWidth="1"/>
    <col min="9209" max="9209" width="32.42578125" style="16" customWidth="1"/>
    <col min="9210" max="9210" width="9.85546875" style="16" customWidth="1"/>
    <col min="9211" max="9211" width="10.140625" style="16" customWidth="1"/>
    <col min="9212" max="9212" width="12.28515625" style="16" customWidth="1"/>
    <col min="9213" max="9213" width="15.42578125" style="16" customWidth="1"/>
    <col min="9214" max="9214" width="11.85546875" style="16" customWidth="1"/>
    <col min="9215" max="9215" width="13.28515625" style="16" customWidth="1"/>
    <col min="9216" max="9216" width="15.28515625" style="16" customWidth="1"/>
    <col min="9217" max="9217" width="11.85546875" style="16" customWidth="1"/>
    <col min="9218" max="9218" width="6.140625" style="16" customWidth="1"/>
    <col min="9219" max="9219" width="11.85546875" style="16" customWidth="1"/>
    <col min="9220" max="9220" width="9.42578125" style="16" customWidth="1"/>
    <col min="9221" max="9221" width="14.7109375" style="16" customWidth="1"/>
    <col min="9222" max="9222" width="11.5703125" style="16" customWidth="1"/>
    <col min="9223" max="9223" width="0.42578125" style="16" customWidth="1"/>
    <col min="9224" max="9224" width="10.5703125" style="16" bestFit="1" customWidth="1"/>
    <col min="9225" max="9225" width="12.28515625" style="16" customWidth="1"/>
    <col min="9226" max="9226" width="12.5703125" style="16" customWidth="1"/>
    <col min="9227" max="9227" width="10.5703125" style="16" customWidth="1"/>
    <col min="9228" max="9228" width="10.140625" style="16" customWidth="1"/>
    <col min="9229" max="9229" width="8.42578125" style="16" customWidth="1"/>
    <col min="9230" max="9230" width="18.85546875" style="16" customWidth="1"/>
    <col min="9231" max="9231" width="10.28515625" style="16" customWidth="1"/>
    <col min="9232" max="9232" width="11.42578125" style="16"/>
    <col min="9233" max="9233" width="12.140625" style="16" customWidth="1"/>
    <col min="9234" max="9234" width="10.5703125" style="16" customWidth="1"/>
    <col min="9235" max="9235" width="12.42578125" style="16" customWidth="1"/>
    <col min="9236" max="9236" width="15.140625" style="16" customWidth="1"/>
    <col min="9237" max="9237" width="13.5703125" style="16" customWidth="1"/>
    <col min="9238" max="9238" width="13.140625" style="16" customWidth="1"/>
    <col min="9239" max="9239" width="15.7109375" style="16" customWidth="1"/>
    <col min="9240" max="9240" width="37.5703125" style="16" customWidth="1"/>
    <col min="9241" max="9462" width="11.42578125" style="16"/>
    <col min="9463" max="9463" width="10.5703125" style="16" customWidth="1"/>
    <col min="9464" max="9464" width="4.85546875" style="16" customWidth="1"/>
    <col min="9465" max="9465" width="32.42578125" style="16" customWidth="1"/>
    <col min="9466" max="9466" width="9.85546875" style="16" customWidth="1"/>
    <col min="9467" max="9467" width="10.140625" style="16" customWidth="1"/>
    <col min="9468" max="9468" width="12.28515625" style="16" customWidth="1"/>
    <col min="9469" max="9469" width="15.42578125" style="16" customWidth="1"/>
    <col min="9470" max="9470" width="11.85546875" style="16" customWidth="1"/>
    <col min="9471" max="9471" width="13.28515625" style="16" customWidth="1"/>
    <col min="9472" max="9472" width="15.28515625" style="16" customWidth="1"/>
    <col min="9473" max="9473" width="11.85546875" style="16" customWidth="1"/>
    <col min="9474" max="9474" width="6.140625" style="16" customWidth="1"/>
    <col min="9475" max="9475" width="11.85546875" style="16" customWidth="1"/>
    <col min="9476" max="9476" width="9.42578125" style="16" customWidth="1"/>
    <col min="9477" max="9477" width="14.7109375" style="16" customWidth="1"/>
    <col min="9478" max="9478" width="11.5703125" style="16" customWidth="1"/>
    <col min="9479" max="9479" width="0.42578125" style="16" customWidth="1"/>
    <col min="9480" max="9480" width="10.5703125" style="16" bestFit="1" customWidth="1"/>
    <col min="9481" max="9481" width="12.28515625" style="16" customWidth="1"/>
    <col min="9482" max="9482" width="12.5703125" style="16" customWidth="1"/>
    <col min="9483" max="9483" width="10.5703125" style="16" customWidth="1"/>
    <col min="9484" max="9484" width="10.140625" style="16" customWidth="1"/>
    <col min="9485" max="9485" width="8.42578125" style="16" customWidth="1"/>
    <col min="9486" max="9486" width="18.85546875" style="16" customWidth="1"/>
    <col min="9487" max="9487" width="10.28515625" style="16" customWidth="1"/>
    <col min="9488" max="9488" width="11.42578125" style="16"/>
    <col min="9489" max="9489" width="12.140625" style="16" customWidth="1"/>
    <col min="9490" max="9490" width="10.5703125" style="16" customWidth="1"/>
    <col min="9491" max="9491" width="12.42578125" style="16" customWidth="1"/>
    <col min="9492" max="9492" width="15.140625" style="16" customWidth="1"/>
    <col min="9493" max="9493" width="13.5703125" style="16" customWidth="1"/>
    <col min="9494" max="9494" width="13.140625" style="16" customWidth="1"/>
    <col min="9495" max="9495" width="15.7109375" style="16" customWidth="1"/>
    <col min="9496" max="9496" width="37.5703125" style="16" customWidth="1"/>
    <col min="9497" max="9718" width="11.42578125" style="16"/>
    <col min="9719" max="9719" width="10.5703125" style="16" customWidth="1"/>
    <col min="9720" max="9720" width="4.85546875" style="16" customWidth="1"/>
    <col min="9721" max="9721" width="32.42578125" style="16" customWidth="1"/>
    <col min="9722" max="9722" width="9.85546875" style="16" customWidth="1"/>
    <col min="9723" max="9723" width="10.140625" style="16" customWidth="1"/>
    <col min="9724" max="9724" width="12.28515625" style="16" customWidth="1"/>
    <col min="9725" max="9725" width="15.42578125" style="16" customWidth="1"/>
    <col min="9726" max="9726" width="11.85546875" style="16" customWidth="1"/>
    <col min="9727" max="9727" width="13.28515625" style="16" customWidth="1"/>
    <col min="9728" max="9728" width="15.28515625" style="16" customWidth="1"/>
    <col min="9729" max="9729" width="11.85546875" style="16" customWidth="1"/>
    <col min="9730" max="9730" width="6.140625" style="16" customWidth="1"/>
    <col min="9731" max="9731" width="11.85546875" style="16" customWidth="1"/>
    <col min="9732" max="9732" width="9.42578125" style="16" customWidth="1"/>
    <col min="9733" max="9733" width="14.7109375" style="16" customWidth="1"/>
    <col min="9734" max="9734" width="11.5703125" style="16" customWidth="1"/>
    <col min="9735" max="9735" width="0.42578125" style="16" customWidth="1"/>
    <col min="9736" max="9736" width="10.5703125" style="16" bestFit="1" customWidth="1"/>
    <col min="9737" max="9737" width="12.28515625" style="16" customWidth="1"/>
    <col min="9738" max="9738" width="12.5703125" style="16" customWidth="1"/>
    <col min="9739" max="9739" width="10.5703125" style="16" customWidth="1"/>
    <col min="9740" max="9740" width="10.140625" style="16" customWidth="1"/>
    <col min="9741" max="9741" width="8.42578125" style="16" customWidth="1"/>
    <col min="9742" max="9742" width="18.85546875" style="16" customWidth="1"/>
    <col min="9743" max="9743" width="10.28515625" style="16" customWidth="1"/>
    <col min="9744" max="9744" width="11.42578125" style="16"/>
    <col min="9745" max="9745" width="12.140625" style="16" customWidth="1"/>
    <col min="9746" max="9746" width="10.5703125" style="16" customWidth="1"/>
    <col min="9747" max="9747" width="12.42578125" style="16" customWidth="1"/>
    <col min="9748" max="9748" width="15.140625" style="16" customWidth="1"/>
    <col min="9749" max="9749" width="13.5703125" style="16" customWidth="1"/>
    <col min="9750" max="9750" width="13.140625" style="16" customWidth="1"/>
    <col min="9751" max="9751" width="15.7109375" style="16" customWidth="1"/>
    <col min="9752" max="9752" width="37.5703125" style="16" customWidth="1"/>
    <col min="9753" max="9974" width="11.42578125" style="16"/>
    <col min="9975" max="9975" width="10.5703125" style="16" customWidth="1"/>
    <col min="9976" max="9976" width="4.85546875" style="16" customWidth="1"/>
    <col min="9977" max="9977" width="32.42578125" style="16" customWidth="1"/>
    <col min="9978" max="9978" width="9.85546875" style="16" customWidth="1"/>
    <col min="9979" max="9979" width="10.140625" style="16" customWidth="1"/>
    <col min="9980" max="9980" width="12.28515625" style="16" customWidth="1"/>
    <col min="9981" max="9981" width="15.42578125" style="16" customWidth="1"/>
    <col min="9982" max="9982" width="11.85546875" style="16" customWidth="1"/>
    <col min="9983" max="9983" width="13.28515625" style="16" customWidth="1"/>
    <col min="9984" max="9984" width="15.28515625" style="16" customWidth="1"/>
    <col min="9985" max="9985" width="11.85546875" style="16" customWidth="1"/>
    <col min="9986" max="9986" width="6.140625" style="16" customWidth="1"/>
    <col min="9987" max="9987" width="11.85546875" style="16" customWidth="1"/>
    <col min="9988" max="9988" width="9.42578125" style="16" customWidth="1"/>
    <col min="9989" max="9989" width="14.7109375" style="16" customWidth="1"/>
    <col min="9990" max="9990" width="11.5703125" style="16" customWidth="1"/>
    <col min="9991" max="9991" width="0.42578125" style="16" customWidth="1"/>
    <col min="9992" max="9992" width="10.5703125" style="16" bestFit="1" customWidth="1"/>
    <col min="9993" max="9993" width="12.28515625" style="16" customWidth="1"/>
    <col min="9994" max="9994" width="12.5703125" style="16" customWidth="1"/>
    <col min="9995" max="9995" width="10.5703125" style="16" customWidth="1"/>
    <col min="9996" max="9996" width="10.140625" style="16" customWidth="1"/>
    <col min="9997" max="9997" width="8.42578125" style="16" customWidth="1"/>
    <col min="9998" max="9998" width="18.85546875" style="16" customWidth="1"/>
    <col min="9999" max="9999" width="10.28515625" style="16" customWidth="1"/>
    <col min="10000" max="10000" width="11.42578125" style="16"/>
    <col min="10001" max="10001" width="12.140625" style="16" customWidth="1"/>
    <col min="10002" max="10002" width="10.5703125" style="16" customWidth="1"/>
    <col min="10003" max="10003" width="12.42578125" style="16" customWidth="1"/>
    <col min="10004" max="10004" width="15.140625" style="16" customWidth="1"/>
    <col min="10005" max="10005" width="13.5703125" style="16" customWidth="1"/>
    <col min="10006" max="10006" width="13.140625" style="16" customWidth="1"/>
    <col min="10007" max="10007" width="15.7109375" style="16" customWidth="1"/>
    <col min="10008" max="10008" width="37.5703125" style="16" customWidth="1"/>
    <col min="10009" max="10230" width="11.42578125" style="16"/>
    <col min="10231" max="10231" width="10.5703125" style="16" customWidth="1"/>
    <col min="10232" max="10232" width="4.85546875" style="16" customWidth="1"/>
    <col min="10233" max="10233" width="32.42578125" style="16" customWidth="1"/>
    <col min="10234" max="10234" width="9.85546875" style="16" customWidth="1"/>
    <col min="10235" max="10235" width="10.140625" style="16" customWidth="1"/>
    <col min="10236" max="10236" width="12.28515625" style="16" customWidth="1"/>
    <col min="10237" max="10237" width="15.42578125" style="16" customWidth="1"/>
    <col min="10238" max="10238" width="11.85546875" style="16" customWidth="1"/>
    <col min="10239" max="10239" width="13.28515625" style="16" customWidth="1"/>
    <col min="10240" max="10240" width="15.28515625" style="16" customWidth="1"/>
    <col min="10241" max="10241" width="11.85546875" style="16" customWidth="1"/>
    <col min="10242" max="10242" width="6.140625" style="16" customWidth="1"/>
    <col min="10243" max="10243" width="11.85546875" style="16" customWidth="1"/>
    <col min="10244" max="10244" width="9.42578125" style="16" customWidth="1"/>
    <col min="10245" max="10245" width="14.7109375" style="16" customWidth="1"/>
    <col min="10246" max="10246" width="11.5703125" style="16" customWidth="1"/>
    <col min="10247" max="10247" width="0.42578125" style="16" customWidth="1"/>
    <col min="10248" max="10248" width="10.5703125" style="16" bestFit="1" customWidth="1"/>
    <col min="10249" max="10249" width="12.28515625" style="16" customWidth="1"/>
    <col min="10250" max="10250" width="12.5703125" style="16" customWidth="1"/>
    <col min="10251" max="10251" width="10.5703125" style="16" customWidth="1"/>
    <col min="10252" max="10252" width="10.140625" style="16" customWidth="1"/>
    <col min="10253" max="10253" width="8.42578125" style="16" customWidth="1"/>
    <col min="10254" max="10254" width="18.85546875" style="16" customWidth="1"/>
    <col min="10255" max="10255" width="10.28515625" style="16" customWidth="1"/>
    <col min="10256" max="10256" width="11.42578125" style="16"/>
    <col min="10257" max="10257" width="12.140625" style="16" customWidth="1"/>
    <col min="10258" max="10258" width="10.5703125" style="16" customWidth="1"/>
    <col min="10259" max="10259" width="12.42578125" style="16" customWidth="1"/>
    <col min="10260" max="10260" width="15.140625" style="16" customWidth="1"/>
    <col min="10261" max="10261" width="13.5703125" style="16" customWidth="1"/>
    <col min="10262" max="10262" width="13.140625" style="16" customWidth="1"/>
    <col min="10263" max="10263" width="15.7109375" style="16" customWidth="1"/>
    <col min="10264" max="10264" width="37.5703125" style="16" customWidth="1"/>
    <col min="10265" max="10486" width="11.42578125" style="16"/>
    <col min="10487" max="10487" width="10.5703125" style="16" customWidth="1"/>
    <col min="10488" max="10488" width="4.85546875" style="16" customWidth="1"/>
    <col min="10489" max="10489" width="32.42578125" style="16" customWidth="1"/>
    <col min="10490" max="10490" width="9.85546875" style="16" customWidth="1"/>
    <col min="10491" max="10491" width="10.140625" style="16" customWidth="1"/>
    <col min="10492" max="10492" width="12.28515625" style="16" customWidth="1"/>
    <col min="10493" max="10493" width="15.42578125" style="16" customWidth="1"/>
    <col min="10494" max="10494" width="11.85546875" style="16" customWidth="1"/>
    <col min="10495" max="10495" width="13.28515625" style="16" customWidth="1"/>
    <col min="10496" max="10496" width="15.28515625" style="16" customWidth="1"/>
    <col min="10497" max="10497" width="11.85546875" style="16" customWidth="1"/>
    <col min="10498" max="10498" width="6.140625" style="16" customWidth="1"/>
    <col min="10499" max="10499" width="11.85546875" style="16" customWidth="1"/>
    <col min="10500" max="10500" width="9.42578125" style="16" customWidth="1"/>
    <col min="10501" max="10501" width="14.7109375" style="16" customWidth="1"/>
    <col min="10502" max="10502" width="11.5703125" style="16" customWidth="1"/>
    <col min="10503" max="10503" width="0.42578125" style="16" customWidth="1"/>
    <col min="10504" max="10504" width="10.5703125" style="16" bestFit="1" customWidth="1"/>
    <col min="10505" max="10505" width="12.28515625" style="16" customWidth="1"/>
    <col min="10506" max="10506" width="12.5703125" style="16" customWidth="1"/>
    <col min="10507" max="10507" width="10.5703125" style="16" customWidth="1"/>
    <col min="10508" max="10508" width="10.140625" style="16" customWidth="1"/>
    <col min="10509" max="10509" width="8.42578125" style="16" customWidth="1"/>
    <col min="10510" max="10510" width="18.85546875" style="16" customWidth="1"/>
    <col min="10511" max="10511" width="10.28515625" style="16" customWidth="1"/>
    <col min="10512" max="10512" width="11.42578125" style="16"/>
    <col min="10513" max="10513" width="12.140625" style="16" customWidth="1"/>
    <col min="10514" max="10514" width="10.5703125" style="16" customWidth="1"/>
    <col min="10515" max="10515" width="12.42578125" style="16" customWidth="1"/>
    <col min="10516" max="10516" width="15.140625" style="16" customWidth="1"/>
    <col min="10517" max="10517" width="13.5703125" style="16" customWidth="1"/>
    <col min="10518" max="10518" width="13.140625" style="16" customWidth="1"/>
    <col min="10519" max="10519" width="15.7109375" style="16" customWidth="1"/>
    <col min="10520" max="10520" width="37.5703125" style="16" customWidth="1"/>
    <col min="10521" max="10742" width="11.42578125" style="16"/>
    <col min="10743" max="10743" width="10.5703125" style="16" customWidth="1"/>
    <col min="10744" max="10744" width="4.85546875" style="16" customWidth="1"/>
    <col min="10745" max="10745" width="32.42578125" style="16" customWidth="1"/>
    <col min="10746" max="10746" width="9.85546875" style="16" customWidth="1"/>
    <col min="10747" max="10747" width="10.140625" style="16" customWidth="1"/>
    <col min="10748" max="10748" width="12.28515625" style="16" customWidth="1"/>
    <col min="10749" max="10749" width="15.42578125" style="16" customWidth="1"/>
    <col min="10750" max="10750" width="11.85546875" style="16" customWidth="1"/>
    <col min="10751" max="10751" width="13.28515625" style="16" customWidth="1"/>
    <col min="10752" max="10752" width="15.28515625" style="16" customWidth="1"/>
    <col min="10753" max="10753" width="11.85546875" style="16" customWidth="1"/>
    <col min="10754" max="10754" width="6.140625" style="16" customWidth="1"/>
    <col min="10755" max="10755" width="11.85546875" style="16" customWidth="1"/>
    <col min="10756" max="10756" width="9.42578125" style="16" customWidth="1"/>
    <col min="10757" max="10757" width="14.7109375" style="16" customWidth="1"/>
    <col min="10758" max="10758" width="11.5703125" style="16" customWidth="1"/>
    <col min="10759" max="10759" width="0.42578125" style="16" customWidth="1"/>
    <col min="10760" max="10760" width="10.5703125" style="16" bestFit="1" customWidth="1"/>
    <col min="10761" max="10761" width="12.28515625" style="16" customWidth="1"/>
    <col min="10762" max="10762" width="12.5703125" style="16" customWidth="1"/>
    <col min="10763" max="10763" width="10.5703125" style="16" customWidth="1"/>
    <col min="10764" max="10764" width="10.140625" style="16" customWidth="1"/>
    <col min="10765" max="10765" width="8.42578125" style="16" customWidth="1"/>
    <col min="10766" max="10766" width="18.85546875" style="16" customWidth="1"/>
    <col min="10767" max="10767" width="10.28515625" style="16" customWidth="1"/>
    <col min="10768" max="10768" width="11.42578125" style="16"/>
    <col min="10769" max="10769" width="12.140625" style="16" customWidth="1"/>
    <col min="10770" max="10770" width="10.5703125" style="16" customWidth="1"/>
    <col min="10771" max="10771" width="12.42578125" style="16" customWidth="1"/>
    <col min="10772" max="10772" width="15.140625" style="16" customWidth="1"/>
    <col min="10773" max="10773" width="13.5703125" style="16" customWidth="1"/>
    <col min="10774" max="10774" width="13.140625" style="16" customWidth="1"/>
    <col min="10775" max="10775" width="15.7109375" style="16" customWidth="1"/>
    <col min="10776" max="10776" width="37.5703125" style="16" customWidth="1"/>
    <col min="10777" max="10998" width="11.42578125" style="16"/>
    <col min="10999" max="10999" width="10.5703125" style="16" customWidth="1"/>
    <col min="11000" max="11000" width="4.85546875" style="16" customWidth="1"/>
    <col min="11001" max="11001" width="32.42578125" style="16" customWidth="1"/>
    <col min="11002" max="11002" width="9.85546875" style="16" customWidth="1"/>
    <col min="11003" max="11003" width="10.140625" style="16" customWidth="1"/>
    <col min="11004" max="11004" width="12.28515625" style="16" customWidth="1"/>
    <col min="11005" max="11005" width="15.42578125" style="16" customWidth="1"/>
    <col min="11006" max="11006" width="11.85546875" style="16" customWidth="1"/>
    <col min="11007" max="11007" width="13.28515625" style="16" customWidth="1"/>
    <col min="11008" max="11008" width="15.28515625" style="16" customWidth="1"/>
    <col min="11009" max="11009" width="11.85546875" style="16" customWidth="1"/>
    <col min="11010" max="11010" width="6.140625" style="16" customWidth="1"/>
    <col min="11011" max="11011" width="11.85546875" style="16" customWidth="1"/>
    <col min="11012" max="11012" width="9.42578125" style="16" customWidth="1"/>
    <col min="11013" max="11013" width="14.7109375" style="16" customWidth="1"/>
    <col min="11014" max="11014" width="11.5703125" style="16" customWidth="1"/>
    <col min="11015" max="11015" width="0.42578125" style="16" customWidth="1"/>
    <col min="11016" max="11016" width="10.5703125" style="16" bestFit="1" customWidth="1"/>
    <col min="11017" max="11017" width="12.28515625" style="16" customWidth="1"/>
    <col min="11018" max="11018" width="12.5703125" style="16" customWidth="1"/>
    <col min="11019" max="11019" width="10.5703125" style="16" customWidth="1"/>
    <col min="11020" max="11020" width="10.140625" style="16" customWidth="1"/>
    <col min="11021" max="11021" width="8.42578125" style="16" customWidth="1"/>
    <col min="11022" max="11022" width="18.85546875" style="16" customWidth="1"/>
    <col min="11023" max="11023" width="10.28515625" style="16" customWidth="1"/>
    <col min="11024" max="11024" width="11.42578125" style="16"/>
    <col min="11025" max="11025" width="12.140625" style="16" customWidth="1"/>
    <col min="11026" max="11026" width="10.5703125" style="16" customWidth="1"/>
    <col min="11027" max="11027" width="12.42578125" style="16" customWidth="1"/>
    <col min="11028" max="11028" width="15.140625" style="16" customWidth="1"/>
    <col min="11029" max="11029" width="13.5703125" style="16" customWidth="1"/>
    <col min="11030" max="11030" width="13.140625" style="16" customWidth="1"/>
    <col min="11031" max="11031" width="15.7109375" style="16" customWidth="1"/>
    <col min="11032" max="11032" width="37.5703125" style="16" customWidth="1"/>
    <col min="11033" max="11254" width="11.42578125" style="16"/>
    <col min="11255" max="11255" width="10.5703125" style="16" customWidth="1"/>
    <col min="11256" max="11256" width="4.85546875" style="16" customWidth="1"/>
    <col min="11257" max="11257" width="32.42578125" style="16" customWidth="1"/>
    <col min="11258" max="11258" width="9.85546875" style="16" customWidth="1"/>
    <col min="11259" max="11259" width="10.140625" style="16" customWidth="1"/>
    <col min="11260" max="11260" width="12.28515625" style="16" customWidth="1"/>
    <col min="11261" max="11261" width="15.42578125" style="16" customWidth="1"/>
    <col min="11262" max="11262" width="11.85546875" style="16" customWidth="1"/>
    <col min="11263" max="11263" width="13.28515625" style="16" customWidth="1"/>
    <col min="11264" max="11264" width="15.28515625" style="16" customWidth="1"/>
    <col min="11265" max="11265" width="11.85546875" style="16" customWidth="1"/>
    <col min="11266" max="11266" width="6.140625" style="16" customWidth="1"/>
    <col min="11267" max="11267" width="11.85546875" style="16" customWidth="1"/>
    <col min="11268" max="11268" width="9.42578125" style="16" customWidth="1"/>
    <col min="11269" max="11269" width="14.7109375" style="16" customWidth="1"/>
    <col min="11270" max="11270" width="11.5703125" style="16" customWidth="1"/>
    <col min="11271" max="11271" width="0.42578125" style="16" customWidth="1"/>
    <col min="11272" max="11272" width="10.5703125" style="16" bestFit="1" customWidth="1"/>
    <col min="11273" max="11273" width="12.28515625" style="16" customWidth="1"/>
    <col min="11274" max="11274" width="12.5703125" style="16" customWidth="1"/>
    <col min="11275" max="11275" width="10.5703125" style="16" customWidth="1"/>
    <col min="11276" max="11276" width="10.140625" style="16" customWidth="1"/>
    <col min="11277" max="11277" width="8.42578125" style="16" customWidth="1"/>
    <col min="11278" max="11278" width="18.85546875" style="16" customWidth="1"/>
    <col min="11279" max="11279" width="10.28515625" style="16" customWidth="1"/>
    <col min="11280" max="11280" width="11.42578125" style="16"/>
    <col min="11281" max="11281" width="12.140625" style="16" customWidth="1"/>
    <col min="11282" max="11282" width="10.5703125" style="16" customWidth="1"/>
    <col min="11283" max="11283" width="12.42578125" style="16" customWidth="1"/>
    <col min="11284" max="11284" width="15.140625" style="16" customWidth="1"/>
    <col min="11285" max="11285" width="13.5703125" style="16" customWidth="1"/>
    <col min="11286" max="11286" width="13.140625" style="16" customWidth="1"/>
    <col min="11287" max="11287" width="15.7109375" style="16" customWidth="1"/>
    <col min="11288" max="11288" width="37.5703125" style="16" customWidth="1"/>
    <col min="11289" max="11510" width="11.42578125" style="16"/>
    <col min="11511" max="11511" width="10.5703125" style="16" customWidth="1"/>
    <col min="11512" max="11512" width="4.85546875" style="16" customWidth="1"/>
    <col min="11513" max="11513" width="32.42578125" style="16" customWidth="1"/>
    <col min="11514" max="11514" width="9.85546875" style="16" customWidth="1"/>
    <col min="11515" max="11515" width="10.140625" style="16" customWidth="1"/>
    <col min="11516" max="11516" width="12.28515625" style="16" customWidth="1"/>
    <col min="11517" max="11517" width="15.42578125" style="16" customWidth="1"/>
    <col min="11518" max="11518" width="11.85546875" style="16" customWidth="1"/>
    <col min="11519" max="11519" width="13.28515625" style="16" customWidth="1"/>
    <col min="11520" max="11520" width="15.28515625" style="16" customWidth="1"/>
    <col min="11521" max="11521" width="11.85546875" style="16" customWidth="1"/>
    <col min="11522" max="11522" width="6.140625" style="16" customWidth="1"/>
    <col min="11523" max="11523" width="11.85546875" style="16" customWidth="1"/>
    <col min="11524" max="11524" width="9.42578125" style="16" customWidth="1"/>
    <col min="11525" max="11525" width="14.7109375" style="16" customWidth="1"/>
    <col min="11526" max="11526" width="11.5703125" style="16" customWidth="1"/>
    <col min="11527" max="11527" width="0.42578125" style="16" customWidth="1"/>
    <col min="11528" max="11528" width="10.5703125" style="16" bestFit="1" customWidth="1"/>
    <col min="11529" max="11529" width="12.28515625" style="16" customWidth="1"/>
    <col min="11530" max="11530" width="12.5703125" style="16" customWidth="1"/>
    <col min="11531" max="11531" width="10.5703125" style="16" customWidth="1"/>
    <col min="11532" max="11532" width="10.140625" style="16" customWidth="1"/>
    <col min="11533" max="11533" width="8.42578125" style="16" customWidth="1"/>
    <col min="11534" max="11534" width="18.85546875" style="16" customWidth="1"/>
    <col min="11535" max="11535" width="10.28515625" style="16" customWidth="1"/>
    <col min="11536" max="11536" width="11.42578125" style="16"/>
    <col min="11537" max="11537" width="12.140625" style="16" customWidth="1"/>
    <col min="11538" max="11538" width="10.5703125" style="16" customWidth="1"/>
    <col min="11539" max="11539" width="12.42578125" style="16" customWidth="1"/>
    <col min="11540" max="11540" width="15.140625" style="16" customWidth="1"/>
    <col min="11541" max="11541" width="13.5703125" style="16" customWidth="1"/>
    <col min="11542" max="11542" width="13.140625" style="16" customWidth="1"/>
    <col min="11543" max="11543" width="15.7109375" style="16" customWidth="1"/>
    <col min="11544" max="11544" width="37.5703125" style="16" customWidth="1"/>
    <col min="11545" max="11766" width="11.42578125" style="16"/>
    <col min="11767" max="11767" width="10.5703125" style="16" customWidth="1"/>
    <col min="11768" max="11768" width="4.85546875" style="16" customWidth="1"/>
    <col min="11769" max="11769" width="32.42578125" style="16" customWidth="1"/>
    <col min="11770" max="11770" width="9.85546875" style="16" customWidth="1"/>
    <col min="11771" max="11771" width="10.140625" style="16" customWidth="1"/>
    <col min="11772" max="11772" width="12.28515625" style="16" customWidth="1"/>
    <col min="11773" max="11773" width="15.42578125" style="16" customWidth="1"/>
    <col min="11774" max="11774" width="11.85546875" style="16" customWidth="1"/>
    <col min="11775" max="11775" width="13.28515625" style="16" customWidth="1"/>
    <col min="11776" max="11776" width="15.28515625" style="16" customWidth="1"/>
    <col min="11777" max="11777" width="11.85546875" style="16" customWidth="1"/>
    <col min="11778" max="11778" width="6.140625" style="16" customWidth="1"/>
    <col min="11779" max="11779" width="11.85546875" style="16" customWidth="1"/>
    <col min="11780" max="11780" width="9.42578125" style="16" customWidth="1"/>
    <col min="11781" max="11781" width="14.7109375" style="16" customWidth="1"/>
    <col min="11782" max="11782" width="11.5703125" style="16" customWidth="1"/>
    <col min="11783" max="11783" width="0.42578125" style="16" customWidth="1"/>
    <col min="11784" max="11784" width="10.5703125" style="16" bestFit="1" customWidth="1"/>
    <col min="11785" max="11785" width="12.28515625" style="16" customWidth="1"/>
    <col min="11786" max="11786" width="12.5703125" style="16" customWidth="1"/>
    <col min="11787" max="11787" width="10.5703125" style="16" customWidth="1"/>
    <col min="11788" max="11788" width="10.140625" style="16" customWidth="1"/>
    <col min="11789" max="11789" width="8.42578125" style="16" customWidth="1"/>
    <col min="11790" max="11790" width="18.85546875" style="16" customWidth="1"/>
    <col min="11791" max="11791" width="10.28515625" style="16" customWidth="1"/>
    <col min="11792" max="11792" width="11.42578125" style="16"/>
    <col min="11793" max="11793" width="12.140625" style="16" customWidth="1"/>
    <col min="11794" max="11794" width="10.5703125" style="16" customWidth="1"/>
    <col min="11795" max="11795" width="12.42578125" style="16" customWidth="1"/>
    <col min="11796" max="11796" width="15.140625" style="16" customWidth="1"/>
    <col min="11797" max="11797" width="13.5703125" style="16" customWidth="1"/>
    <col min="11798" max="11798" width="13.140625" style="16" customWidth="1"/>
    <col min="11799" max="11799" width="15.7109375" style="16" customWidth="1"/>
    <col min="11800" max="11800" width="37.5703125" style="16" customWidth="1"/>
    <col min="11801" max="12022" width="11.42578125" style="16"/>
    <col min="12023" max="12023" width="10.5703125" style="16" customWidth="1"/>
    <col min="12024" max="12024" width="4.85546875" style="16" customWidth="1"/>
    <col min="12025" max="12025" width="32.42578125" style="16" customWidth="1"/>
    <col min="12026" max="12026" width="9.85546875" style="16" customWidth="1"/>
    <col min="12027" max="12027" width="10.140625" style="16" customWidth="1"/>
    <col min="12028" max="12028" width="12.28515625" style="16" customWidth="1"/>
    <col min="12029" max="12029" width="15.42578125" style="16" customWidth="1"/>
    <col min="12030" max="12030" width="11.85546875" style="16" customWidth="1"/>
    <col min="12031" max="12031" width="13.28515625" style="16" customWidth="1"/>
    <col min="12032" max="12032" width="15.28515625" style="16" customWidth="1"/>
    <col min="12033" max="12033" width="11.85546875" style="16" customWidth="1"/>
    <col min="12034" max="12034" width="6.140625" style="16" customWidth="1"/>
    <col min="12035" max="12035" width="11.85546875" style="16" customWidth="1"/>
    <col min="12036" max="12036" width="9.42578125" style="16" customWidth="1"/>
    <col min="12037" max="12037" width="14.7109375" style="16" customWidth="1"/>
    <col min="12038" max="12038" width="11.5703125" style="16" customWidth="1"/>
    <col min="12039" max="12039" width="0.42578125" style="16" customWidth="1"/>
    <col min="12040" max="12040" width="10.5703125" style="16" bestFit="1" customWidth="1"/>
    <col min="12041" max="12041" width="12.28515625" style="16" customWidth="1"/>
    <col min="12042" max="12042" width="12.5703125" style="16" customWidth="1"/>
    <col min="12043" max="12043" width="10.5703125" style="16" customWidth="1"/>
    <col min="12044" max="12044" width="10.140625" style="16" customWidth="1"/>
    <col min="12045" max="12045" width="8.42578125" style="16" customWidth="1"/>
    <col min="12046" max="12046" width="18.85546875" style="16" customWidth="1"/>
    <col min="12047" max="12047" width="10.28515625" style="16" customWidth="1"/>
    <col min="12048" max="12048" width="11.42578125" style="16"/>
    <col min="12049" max="12049" width="12.140625" style="16" customWidth="1"/>
    <col min="12050" max="12050" width="10.5703125" style="16" customWidth="1"/>
    <col min="12051" max="12051" width="12.42578125" style="16" customWidth="1"/>
    <col min="12052" max="12052" width="15.140625" style="16" customWidth="1"/>
    <col min="12053" max="12053" width="13.5703125" style="16" customWidth="1"/>
    <col min="12054" max="12054" width="13.140625" style="16" customWidth="1"/>
    <col min="12055" max="12055" width="15.7109375" style="16" customWidth="1"/>
    <col min="12056" max="12056" width="37.5703125" style="16" customWidth="1"/>
    <col min="12057" max="12278" width="11.42578125" style="16"/>
    <col min="12279" max="12279" width="10.5703125" style="16" customWidth="1"/>
    <col min="12280" max="12280" width="4.85546875" style="16" customWidth="1"/>
    <col min="12281" max="12281" width="32.42578125" style="16" customWidth="1"/>
    <col min="12282" max="12282" width="9.85546875" style="16" customWidth="1"/>
    <col min="12283" max="12283" width="10.140625" style="16" customWidth="1"/>
    <col min="12284" max="12284" width="12.28515625" style="16" customWidth="1"/>
    <col min="12285" max="12285" width="15.42578125" style="16" customWidth="1"/>
    <col min="12286" max="12286" width="11.85546875" style="16" customWidth="1"/>
    <col min="12287" max="12287" width="13.28515625" style="16" customWidth="1"/>
    <col min="12288" max="12288" width="15.28515625" style="16" customWidth="1"/>
    <col min="12289" max="12289" width="11.85546875" style="16" customWidth="1"/>
    <col min="12290" max="12290" width="6.140625" style="16" customWidth="1"/>
    <col min="12291" max="12291" width="11.85546875" style="16" customWidth="1"/>
    <col min="12292" max="12292" width="9.42578125" style="16" customWidth="1"/>
    <col min="12293" max="12293" width="14.7109375" style="16" customWidth="1"/>
    <col min="12294" max="12294" width="11.5703125" style="16" customWidth="1"/>
    <col min="12295" max="12295" width="0.42578125" style="16" customWidth="1"/>
    <col min="12296" max="12296" width="10.5703125" style="16" bestFit="1" customWidth="1"/>
    <col min="12297" max="12297" width="12.28515625" style="16" customWidth="1"/>
    <col min="12298" max="12298" width="12.5703125" style="16" customWidth="1"/>
    <col min="12299" max="12299" width="10.5703125" style="16" customWidth="1"/>
    <col min="12300" max="12300" width="10.140625" style="16" customWidth="1"/>
    <col min="12301" max="12301" width="8.42578125" style="16" customWidth="1"/>
    <col min="12302" max="12302" width="18.85546875" style="16" customWidth="1"/>
    <col min="12303" max="12303" width="10.28515625" style="16" customWidth="1"/>
    <col min="12304" max="12304" width="11.42578125" style="16"/>
    <col min="12305" max="12305" width="12.140625" style="16" customWidth="1"/>
    <col min="12306" max="12306" width="10.5703125" style="16" customWidth="1"/>
    <col min="12307" max="12307" width="12.42578125" style="16" customWidth="1"/>
    <col min="12308" max="12308" width="15.140625" style="16" customWidth="1"/>
    <col min="12309" max="12309" width="13.5703125" style="16" customWidth="1"/>
    <col min="12310" max="12310" width="13.140625" style="16" customWidth="1"/>
    <col min="12311" max="12311" width="15.7109375" style="16" customWidth="1"/>
    <col min="12312" max="12312" width="37.5703125" style="16" customWidth="1"/>
    <col min="12313" max="12534" width="11.42578125" style="16"/>
    <col min="12535" max="12535" width="10.5703125" style="16" customWidth="1"/>
    <col min="12536" max="12536" width="4.85546875" style="16" customWidth="1"/>
    <col min="12537" max="12537" width="32.42578125" style="16" customWidth="1"/>
    <col min="12538" max="12538" width="9.85546875" style="16" customWidth="1"/>
    <col min="12539" max="12539" width="10.140625" style="16" customWidth="1"/>
    <col min="12540" max="12540" width="12.28515625" style="16" customWidth="1"/>
    <col min="12541" max="12541" width="15.42578125" style="16" customWidth="1"/>
    <col min="12542" max="12542" width="11.85546875" style="16" customWidth="1"/>
    <col min="12543" max="12543" width="13.28515625" style="16" customWidth="1"/>
    <col min="12544" max="12544" width="15.28515625" style="16" customWidth="1"/>
    <col min="12545" max="12545" width="11.85546875" style="16" customWidth="1"/>
    <col min="12546" max="12546" width="6.140625" style="16" customWidth="1"/>
    <col min="12547" max="12547" width="11.85546875" style="16" customWidth="1"/>
    <col min="12548" max="12548" width="9.42578125" style="16" customWidth="1"/>
    <col min="12549" max="12549" width="14.7109375" style="16" customWidth="1"/>
    <col min="12550" max="12550" width="11.5703125" style="16" customWidth="1"/>
    <col min="12551" max="12551" width="0.42578125" style="16" customWidth="1"/>
    <col min="12552" max="12552" width="10.5703125" style="16" bestFit="1" customWidth="1"/>
    <col min="12553" max="12553" width="12.28515625" style="16" customWidth="1"/>
    <col min="12554" max="12554" width="12.5703125" style="16" customWidth="1"/>
    <col min="12555" max="12555" width="10.5703125" style="16" customWidth="1"/>
    <col min="12556" max="12556" width="10.140625" style="16" customWidth="1"/>
    <col min="12557" max="12557" width="8.42578125" style="16" customWidth="1"/>
    <col min="12558" max="12558" width="18.85546875" style="16" customWidth="1"/>
    <col min="12559" max="12559" width="10.28515625" style="16" customWidth="1"/>
    <col min="12560" max="12560" width="11.42578125" style="16"/>
    <col min="12561" max="12561" width="12.140625" style="16" customWidth="1"/>
    <col min="12562" max="12562" width="10.5703125" style="16" customWidth="1"/>
    <col min="12563" max="12563" width="12.42578125" style="16" customWidth="1"/>
    <col min="12564" max="12564" width="15.140625" style="16" customWidth="1"/>
    <col min="12565" max="12565" width="13.5703125" style="16" customWidth="1"/>
    <col min="12566" max="12566" width="13.140625" style="16" customWidth="1"/>
    <col min="12567" max="12567" width="15.7109375" style="16" customWidth="1"/>
    <col min="12568" max="12568" width="37.5703125" style="16" customWidth="1"/>
    <col min="12569" max="12790" width="11.42578125" style="16"/>
    <col min="12791" max="12791" width="10.5703125" style="16" customWidth="1"/>
    <col min="12792" max="12792" width="4.85546875" style="16" customWidth="1"/>
    <col min="12793" max="12793" width="32.42578125" style="16" customWidth="1"/>
    <col min="12794" max="12794" width="9.85546875" style="16" customWidth="1"/>
    <col min="12795" max="12795" width="10.140625" style="16" customWidth="1"/>
    <col min="12796" max="12796" width="12.28515625" style="16" customWidth="1"/>
    <col min="12797" max="12797" width="15.42578125" style="16" customWidth="1"/>
    <col min="12798" max="12798" width="11.85546875" style="16" customWidth="1"/>
    <col min="12799" max="12799" width="13.28515625" style="16" customWidth="1"/>
    <col min="12800" max="12800" width="15.28515625" style="16" customWidth="1"/>
    <col min="12801" max="12801" width="11.85546875" style="16" customWidth="1"/>
    <col min="12802" max="12802" width="6.140625" style="16" customWidth="1"/>
    <col min="12803" max="12803" width="11.85546875" style="16" customWidth="1"/>
    <col min="12804" max="12804" width="9.42578125" style="16" customWidth="1"/>
    <col min="12805" max="12805" width="14.7109375" style="16" customWidth="1"/>
    <col min="12806" max="12806" width="11.5703125" style="16" customWidth="1"/>
    <col min="12807" max="12807" width="0.42578125" style="16" customWidth="1"/>
    <col min="12808" max="12808" width="10.5703125" style="16" bestFit="1" customWidth="1"/>
    <col min="12809" max="12809" width="12.28515625" style="16" customWidth="1"/>
    <col min="12810" max="12810" width="12.5703125" style="16" customWidth="1"/>
    <col min="12811" max="12811" width="10.5703125" style="16" customWidth="1"/>
    <col min="12812" max="12812" width="10.140625" style="16" customWidth="1"/>
    <col min="12813" max="12813" width="8.42578125" style="16" customWidth="1"/>
    <col min="12814" max="12814" width="18.85546875" style="16" customWidth="1"/>
    <col min="12815" max="12815" width="10.28515625" style="16" customWidth="1"/>
    <col min="12816" max="12816" width="11.42578125" style="16"/>
    <col min="12817" max="12817" width="12.140625" style="16" customWidth="1"/>
    <col min="12818" max="12818" width="10.5703125" style="16" customWidth="1"/>
    <col min="12819" max="12819" width="12.42578125" style="16" customWidth="1"/>
    <col min="12820" max="12820" width="15.140625" style="16" customWidth="1"/>
    <col min="12821" max="12821" width="13.5703125" style="16" customWidth="1"/>
    <col min="12822" max="12822" width="13.140625" style="16" customWidth="1"/>
    <col min="12823" max="12823" width="15.7109375" style="16" customWidth="1"/>
    <col min="12824" max="12824" width="37.5703125" style="16" customWidth="1"/>
    <col min="12825" max="13046" width="11.42578125" style="16"/>
    <col min="13047" max="13047" width="10.5703125" style="16" customWidth="1"/>
    <col min="13048" max="13048" width="4.85546875" style="16" customWidth="1"/>
    <col min="13049" max="13049" width="32.42578125" style="16" customWidth="1"/>
    <col min="13050" max="13050" width="9.85546875" style="16" customWidth="1"/>
    <col min="13051" max="13051" width="10.140625" style="16" customWidth="1"/>
    <col min="13052" max="13052" width="12.28515625" style="16" customWidth="1"/>
    <col min="13053" max="13053" width="15.42578125" style="16" customWidth="1"/>
    <col min="13054" max="13054" width="11.85546875" style="16" customWidth="1"/>
    <col min="13055" max="13055" width="13.28515625" style="16" customWidth="1"/>
    <col min="13056" max="13056" width="15.28515625" style="16" customWidth="1"/>
    <col min="13057" max="13057" width="11.85546875" style="16" customWidth="1"/>
    <col min="13058" max="13058" width="6.140625" style="16" customWidth="1"/>
    <col min="13059" max="13059" width="11.85546875" style="16" customWidth="1"/>
    <col min="13060" max="13060" width="9.42578125" style="16" customWidth="1"/>
    <col min="13061" max="13061" width="14.7109375" style="16" customWidth="1"/>
    <col min="13062" max="13062" width="11.5703125" style="16" customWidth="1"/>
    <col min="13063" max="13063" width="0.42578125" style="16" customWidth="1"/>
    <col min="13064" max="13064" width="10.5703125" style="16" bestFit="1" customWidth="1"/>
    <col min="13065" max="13065" width="12.28515625" style="16" customWidth="1"/>
    <col min="13066" max="13066" width="12.5703125" style="16" customWidth="1"/>
    <col min="13067" max="13067" width="10.5703125" style="16" customWidth="1"/>
    <col min="13068" max="13068" width="10.140625" style="16" customWidth="1"/>
    <col min="13069" max="13069" width="8.42578125" style="16" customWidth="1"/>
    <col min="13070" max="13070" width="18.85546875" style="16" customWidth="1"/>
    <col min="13071" max="13071" width="10.28515625" style="16" customWidth="1"/>
    <col min="13072" max="13072" width="11.42578125" style="16"/>
    <col min="13073" max="13073" width="12.140625" style="16" customWidth="1"/>
    <col min="13074" max="13074" width="10.5703125" style="16" customWidth="1"/>
    <col min="13075" max="13075" width="12.42578125" style="16" customWidth="1"/>
    <col min="13076" max="13076" width="15.140625" style="16" customWidth="1"/>
    <col min="13077" max="13077" width="13.5703125" style="16" customWidth="1"/>
    <col min="13078" max="13078" width="13.140625" style="16" customWidth="1"/>
    <col min="13079" max="13079" width="15.7109375" style="16" customWidth="1"/>
    <col min="13080" max="13080" width="37.5703125" style="16" customWidth="1"/>
    <col min="13081" max="13302" width="11.42578125" style="16"/>
    <col min="13303" max="13303" width="10.5703125" style="16" customWidth="1"/>
    <col min="13304" max="13304" width="4.85546875" style="16" customWidth="1"/>
    <col min="13305" max="13305" width="32.42578125" style="16" customWidth="1"/>
    <col min="13306" max="13306" width="9.85546875" style="16" customWidth="1"/>
    <col min="13307" max="13307" width="10.140625" style="16" customWidth="1"/>
    <col min="13308" max="13308" width="12.28515625" style="16" customWidth="1"/>
    <col min="13309" max="13309" width="15.42578125" style="16" customWidth="1"/>
    <col min="13310" max="13310" width="11.85546875" style="16" customWidth="1"/>
    <col min="13311" max="13311" width="13.28515625" style="16" customWidth="1"/>
    <col min="13312" max="13312" width="15.28515625" style="16" customWidth="1"/>
    <col min="13313" max="13313" width="11.85546875" style="16" customWidth="1"/>
    <col min="13314" max="13314" width="6.140625" style="16" customWidth="1"/>
    <col min="13315" max="13315" width="11.85546875" style="16" customWidth="1"/>
    <col min="13316" max="13316" width="9.42578125" style="16" customWidth="1"/>
    <col min="13317" max="13317" width="14.7109375" style="16" customWidth="1"/>
    <col min="13318" max="13318" width="11.5703125" style="16" customWidth="1"/>
    <col min="13319" max="13319" width="0.42578125" style="16" customWidth="1"/>
    <col min="13320" max="13320" width="10.5703125" style="16" bestFit="1" customWidth="1"/>
    <col min="13321" max="13321" width="12.28515625" style="16" customWidth="1"/>
    <col min="13322" max="13322" width="12.5703125" style="16" customWidth="1"/>
    <col min="13323" max="13323" width="10.5703125" style="16" customWidth="1"/>
    <col min="13324" max="13324" width="10.140625" style="16" customWidth="1"/>
    <col min="13325" max="13325" width="8.42578125" style="16" customWidth="1"/>
    <col min="13326" max="13326" width="18.85546875" style="16" customWidth="1"/>
    <col min="13327" max="13327" width="10.28515625" style="16" customWidth="1"/>
    <col min="13328" max="13328" width="11.42578125" style="16"/>
    <col min="13329" max="13329" width="12.140625" style="16" customWidth="1"/>
    <col min="13330" max="13330" width="10.5703125" style="16" customWidth="1"/>
    <col min="13331" max="13331" width="12.42578125" style="16" customWidth="1"/>
    <col min="13332" max="13332" width="15.140625" style="16" customWidth="1"/>
    <col min="13333" max="13333" width="13.5703125" style="16" customWidth="1"/>
    <col min="13334" max="13334" width="13.140625" style="16" customWidth="1"/>
    <col min="13335" max="13335" width="15.7109375" style="16" customWidth="1"/>
    <col min="13336" max="13336" width="37.5703125" style="16" customWidth="1"/>
    <col min="13337" max="13558" width="11.42578125" style="16"/>
    <col min="13559" max="13559" width="10.5703125" style="16" customWidth="1"/>
    <col min="13560" max="13560" width="4.85546875" style="16" customWidth="1"/>
    <col min="13561" max="13561" width="32.42578125" style="16" customWidth="1"/>
    <col min="13562" max="13562" width="9.85546875" style="16" customWidth="1"/>
    <col min="13563" max="13563" width="10.140625" style="16" customWidth="1"/>
    <col min="13564" max="13564" width="12.28515625" style="16" customWidth="1"/>
    <col min="13565" max="13565" width="15.42578125" style="16" customWidth="1"/>
    <col min="13566" max="13566" width="11.85546875" style="16" customWidth="1"/>
    <col min="13567" max="13567" width="13.28515625" style="16" customWidth="1"/>
    <col min="13568" max="13568" width="15.28515625" style="16" customWidth="1"/>
    <col min="13569" max="13569" width="11.85546875" style="16" customWidth="1"/>
    <col min="13570" max="13570" width="6.140625" style="16" customWidth="1"/>
    <col min="13571" max="13571" width="11.85546875" style="16" customWidth="1"/>
    <col min="13572" max="13572" width="9.42578125" style="16" customWidth="1"/>
    <col min="13573" max="13573" width="14.7109375" style="16" customWidth="1"/>
    <col min="13574" max="13574" width="11.5703125" style="16" customWidth="1"/>
    <col min="13575" max="13575" width="0.42578125" style="16" customWidth="1"/>
    <col min="13576" max="13576" width="10.5703125" style="16" bestFit="1" customWidth="1"/>
    <col min="13577" max="13577" width="12.28515625" style="16" customWidth="1"/>
    <col min="13578" max="13578" width="12.5703125" style="16" customWidth="1"/>
    <col min="13579" max="13579" width="10.5703125" style="16" customWidth="1"/>
    <col min="13580" max="13580" width="10.140625" style="16" customWidth="1"/>
    <col min="13581" max="13581" width="8.42578125" style="16" customWidth="1"/>
    <col min="13582" max="13582" width="18.85546875" style="16" customWidth="1"/>
    <col min="13583" max="13583" width="10.28515625" style="16" customWidth="1"/>
    <col min="13584" max="13584" width="11.42578125" style="16"/>
    <col min="13585" max="13585" width="12.140625" style="16" customWidth="1"/>
    <col min="13586" max="13586" width="10.5703125" style="16" customWidth="1"/>
    <col min="13587" max="13587" width="12.42578125" style="16" customWidth="1"/>
    <col min="13588" max="13588" width="15.140625" style="16" customWidth="1"/>
    <col min="13589" max="13589" width="13.5703125" style="16" customWidth="1"/>
    <col min="13590" max="13590" width="13.140625" style="16" customWidth="1"/>
    <col min="13591" max="13591" width="15.7109375" style="16" customWidth="1"/>
    <col min="13592" max="13592" width="37.5703125" style="16" customWidth="1"/>
    <col min="13593" max="13814" width="11.42578125" style="16"/>
    <col min="13815" max="13815" width="10.5703125" style="16" customWidth="1"/>
    <col min="13816" max="13816" width="4.85546875" style="16" customWidth="1"/>
    <col min="13817" max="13817" width="32.42578125" style="16" customWidth="1"/>
    <col min="13818" max="13818" width="9.85546875" style="16" customWidth="1"/>
    <col min="13819" max="13819" width="10.140625" style="16" customWidth="1"/>
    <col min="13820" max="13820" width="12.28515625" style="16" customWidth="1"/>
    <col min="13821" max="13821" width="15.42578125" style="16" customWidth="1"/>
    <col min="13822" max="13822" width="11.85546875" style="16" customWidth="1"/>
    <col min="13823" max="13823" width="13.28515625" style="16" customWidth="1"/>
    <col min="13824" max="13824" width="15.28515625" style="16" customWidth="1"/>
    <col min="13825" max="13825" width="11.85546875" style="16" customWidth="1"/>
    <col min="13826" max="13826" width="6.140625" style="16" customWidth="1"/>
    <col min="13827" max="13827" width="11.85546875" style="16" customWidth="1"/>
    <col min="13828" max="13828" width="9.42578125" style="16" customWidth="1"/>
    <col min="13829" max="13829" width="14.7109375" style="16" customWidth="1"/>
    <col min="13830" max="13830" width="11.5703125" style="16" customWidth="1"/>
    <col min="13831" max="13831" width="0.42578125" style="16" customWidth="1"/>
    <col min="13832" max="13832" width="10.5703125" style="16" bestFit="1" customWidth="1"/>
    <col min="13833" max="13833" width="12.28515625" style="16" customWidth="1"/>
    <col min="13834" max="13834" width="12.5703125" style="16" customWidth="1"/>
    <col min="13835" max="13835" width="10.5703125" style="16" customWidth="1"/>
    <col min="13836" max="13836" width="10.140625" style="16" customWidth="1"/>
    <col min="13837" max="13837" width="8.42578125" style="16" customWidth="1"/>
    <col min="13838" max="13838" width="18.85546875" style="16" customWidth="1"/>
    <col min="13839" max="13839" width="10.28515625" style="16" customWidth="1"/>
    <col min="13840" max="13840" width="11.42578125" style="16"/>
    <col min="13841" max="13841" width="12.140625" style="16" customWidth="1"/>
    <col min="13842" max="13842" width="10.5703125" style="16" customWidth="1"/>
    <col min="13843" max="13843" width="12.42578125" style="16" customWidth="1"/>
    <col min="13844" max="13844" width="15.140625" style="16" customWidth="1"/>
    <col min="13845" max="13845" width="13.5703125" style="16" customWidth="1"/>
    <col min="13846" max="13846" width="13.140625" style="16" customWidth="1"/>
    <col min="13847" max="13847" width="15.7109375" style="16" customWidth="1"/>
    <col min="13848" max="13848" width="37.5703125" style="16" customWidth="1"/>
    <col min="13849" max="14070" width="11.42578125" style="16"/>
    <col min="14071" max="14071" width="10.5703125" style="16" customWidth="1"/>
    <col min="14072" max="14072" width="4.85546875" style="16" customWidth="1"/>
    <col min="14073" max="14073" width="32.42578125" style="16" customWidth="1"/>
    <col min="14074" max="14074" width="9.85546875" style="16" customWidth="1"/>
    <col min="14075" max="14075" width="10.140625" style="16" customWidth="1"/>
    <col min="14076" max="14076" width="12.28515625" style="16" customWidth="1"/>
    <col min="14077" max="14077" width="15.42578125" style="16" customWidth="1"/>
    <col min="14078" max="14078" width="11.85546875" style="16" customWidth="1"/>
    <col min="14079" max="14079" width="13.28515625" style="16" customWidth="1"/>
    <col min="14080" max="14080" width="15.28515625" style="16" customWidth="1"/>
    <col min="14081" max="14081" width="11.85546875" style="16" customWidth="1"/>
    <col min="14082" max="14082" width="6.140625" style="16" customWidth="1"/>
    <col min="14083" max="14083" width="11.85546875" style="16" customWidth="1"/>
    <col min="14084" max="14084" width="9.42578125" style="16" customWidth="1"/>
    <col min="14085" max="14085" width="14.7109375" style="16" customWidth="1"/>
    <col min="14086" max="14086" width="11.5703125" style="16" customWidth="1"/>
    <col min="14087" max="14087" width="0.42578125" style="16" customWidth="1"/>
    <col min="14088" max="14088" width="10.5703125" style="16" bestFit="1" customWidth="1"/>
    <col min="14089" max="14089" width="12.28515625" style="16" customWidth="1"/>
    <col min="14090" max="14090" width="12.5703125" style="16" customWidth="1"/>
    <col min="14091" max="14091" width="10.5703125" style="16" customWidth="1"/>
    <col min="14092" max="14092" width="10.140625" style="16" customWidth="1"/>
    <col min="14093" max="14093" width="8.42578125" style="16" customWidth="1"/>
    <col min="14094" max="14094" width="18.85546875" style="16" customWidth="1"/>
    <col min="14095" max="14095" width="10.28515625" style="16" customWidth="1"/>
    <col min="14096" max="14096" width="11.42578125" style="16"/>
    <col min="14097" max="14097" width="12.140625" style="16" customWidth="1"/>
    <col min="14098" max="14098" width="10.5703125" style="16" customWidth="1"/>
    <col min="14099" max="14099" width="12.42578125" style="16" customWidth="1"/>
    <col min="14100" max="14100" width="15.140625" style="16" customWidth="1"/>
    <col min="14101" max="14101" width="13.5703125" style="16" customWidth="1"/>
    <col min="14102" max="14102" width="13.140625" style="16" customWidth="1"/>
    <col min="14103" max="14103" width="15.7109375" style="16" customWidth="1"/>
    <col min="14104" max="14104" width="37.5703125" style="16" customWidth="1"/>
    <col min="14105" max="14326" width="11.42578125" style="16"/>
    <col min="14327" max="14327" width="10.5703125" style="16" customWidth="1"/>
    <col min="14328" max="14328" width="4.85546875" style="16" customWidth="1"/>
    <col min="14329" max="14329" width="32.42578125" style="16" customWidth="1"/>
    <col min="14330" max="14330" width="9.85546875" style="16" customWidth="1"/>
    <col min="14331" max="14331" width="10.140625" style="16" customWidth="1"/>
    <col min="14332" max="14332" width="12.28515625" style="16" customWidth="1"/>
    <col min="14333" max="14333" width="15.42578125" style="16" customWidth="1"/>
    <col min="14334" max="14334" width="11.85546875" style="16" customWidth="1"/>
    <col min="14335" max="14335" width="13.28515625" style="16" customWidth="1"/>
    <col min="14336" max="14336" width="15.28515625" style="16" customWidth="1"/>
    <col min="14337" max="14337" width="11.85546875" style="16" customWidth="1"/>
    <col min="14338" max="14338" width="6.140625" style="16" customWidth="1"/>
    <col min="14339" max="14339" width="11.85546875" style="16" customWidth="1"/>
    <col min="14340" max="14340" width="9.42578125" style="16" customWidth="1"/>
    <col min="14341" max="14341" width="14.7109375" style="16" customWidth="1"/>
    <col min="14342" max="14342" width="11.5703125" style="16" customWidth="1"/>
    <col min="14343" max="14343" width="0.42578125" style="16" customWidth="1"/>
    <col min="14344" max="14344" width="10.5703125" style="16" bestFit="1" customWidth="1"/>
    <col min="14345" max="14345" width="12.28515625" style="16" customWidth="1"/>
    <col min="14346" max="14346" width="12.5703125" style="16" customWidth="1"/>
    <col min="14347" max="14347" width="10.5703125" style="16" customWidth="1"/>
    <col min="14348" max="14348" width="10.140625" style="16" customWidth="1"/>
    <col min="14349" max="14349" width="8.42578125" style="16" customWidth="1"/>
    <col min="14350" max="14350" width="18.85546875" style="16" customWidth="1"/>
    <col min="14351" max="14351" width="10.28515625" style="16" customWidth="1"/>
    <col min="14352" max="14352" width="11.42578125" style="16"/>
    <col min="14353" max="14353" width="12.140625" style="16" customWidth="1"/>
    <col min="14354" max="14354" width="10.5703125" style="16" customWidth="1"/>
    <col min="14355" max="14355" width="12.42578125" style="16" customWidth="1"/>
    <col min="14356" max="14356" width="15.140625" style="16" customWidth="1"/>
    <col min="14357" max="14357" width="13.5703125" style="16" customWidth="1"/>
    <col min="14358" max="14358" width="13.140625" style="16" customWidth="1"/>
    <col min="14359" max="14359" width="15.7109375" style="16" customWidth="1"/>
    <col min="14360" max="14360" width="37.5703125" style="16" customWidth="1"/>
    <col min="14361" max="14582" width="11.42578125" style="16"/>
    <col min="14583" max="14583" width="10.5703125" style="16" customWidth="1"/>
    <col min="14584" max="14584" width="4.85546875" style="16" customWidth="1"/>
    <col min="14585" max="14585" width="32.42578125" style="16" customWidth="1"/>
    <col min="14586" max="14586" width="9.85546875" style="16" customWidth="1"/>
    <col min="14587" max="14587" width="10.140625" style="16" customWidth="1"/>
    <col min="14588" max="14588" width="12.28515625" style="16" customWidth="1"/>
    <col min="14589" max="14589" width="15.42578125" style="16" customWidth="1"/>
    <col min="14590" max="14590" width="11.85546875" style="16" customWidth="1"/>
    <col min="14591" max="14591" width="13.28515625" style="16" customWidth="1"/>
    <col min="14592" max="14592" width="15.28515625" style="16" customWidth="1"/>
    <col min="14593" max="14593" width="11.85546875" style="16" customWidth="1"/>
    <col min="14594" max="14594" width="6.140625" style="16" customWidth="1"/>
    <col min="14595" max="14595" width="11.85546875" style="16" customWidth="1"/>
    <col min="14596" max="14596" width="9.42578125" style="16" customWidth="1"/>
    <col min="14597" max="14597" width="14.7109375" style="16" customWidth="1"/>
    <col min="14598" max="14598" width="11.5703125" style="16" customWidth="1"/>
    <col min="14599" max="14599" width="0.42578125" style="16" customWidth="1"/>
    <col min="14600" max="14600" width="10.5703125" style="16" bestFit="1" customWidth="1"/>
    <col min="14601" max="14601" width="12.28515625" style="16" customWidth="1"/>
    <col min="14602" max="14602" width="12.5703125" style="16" customWidth="1"/>
    <col min="14603" max="14603" width="10.5703125" style="16" customWidth="1"/>
    <col min="14604" max="14604" width="10.140625" style="16" customWidth="1"/>
    <col min="14605" max="14605" width="8.42578125" style="16" customWidth="1"/>
    <col min="14606" max="14606" width="18.85546875" style="16" customWidth="1"/>
    <col min="14607" max="14607" width="10.28515625" style="16" customWidth="1"/>
    <col min="14608" max="14608" width="11.42578125" style="16"/>
    <col min="14609" max="14609" width="12.140625" style="16" customWidth="1"/>
    <col min="14610" max="14610" width="10.5703125" style="16" customWidth="1"/>
    <col min="14611" max="14611" width="12.42578125" style="16" customWidth="1"/>
    <col min="14612" max="14612" width="15.140625" style="16" customWidth="1"/>
    <col min="14613" max="14613" width="13.5703125" style="16" customWidth="1"/>
    <col min="14614" max="14614" width="13.140625" style="16" customWidth="1"/>
    <col min="14615" max="14615" width="15.7109375" style="16" customWidth="1"/>
    <col min="14616" max="14616" width="37.5703125" style="16" customWidth="1"/>
    <col min="14617" max="14838" width="11.42578125" style="16"/>
    <col min="14839" max="14839" width="10.5703125" style="16" customWidth="1"/>
    <col min="14840" max="14840" width="4.85546875" style="16" customWidth="1"/>
    <col min="14841" max="14841" width="32.42578125" style="16" customWidth="1"/>
    <col min="14842" max="14842" width="9.85546875" style="16" customWidth="1"/>
    <col min="14843" max="14843" width="10.140625" style="16" customWidth="1"/>
    <col min="14844" max="14844" width="12.28515625" style="16" customWidth="1"/>
    <col min="14845" max="14845" width="15.42578125" style="16" customWidth="1"/>
    <col min="14846" max="14846" width="11.85546875" style="16" customWidth="1"/>
    <col min="14847" max="14847" width="13.28515625" style="16" customWidth="1"/>
    <col min="14848" max="14848" width="15.28515625" style="16" customWidth="1"/>
    <col min="14849" max="14849" width="11.85546875" style="16" customWidth="1"/>
    <col min="14850" max="14850" width="6.140625" style="16" customWidth="1"/>
    <col min="14851" max="14851" width="11.85546875" style="16" customWidth="1"/>
    <col min="14852" max="14852" width="9.42578125" style="16" customWidth="1"/>
    <col min="14853" max="14853" width="14.7109375" style="16" customWidth="1"/>
    <col min="14854" max="14854" width="11.5703125" style="16" customWidth="1"/>
    <col min="14855" max="14855" width="0.42578125" style="16" customWidth="1"/>
    <col min="14856" max="14856" width="10.5703125" style="16" bestFit="1" customWidth="1"/>
    <col min="14857" max="14857" width="12.28515625" style="16" customWidth="1"/>
    <col min="14858" max="14858" width="12.5703125" style="16" customWidth="1"/>
    <col min="14859" max="14859" width="10.5703125" style="16" customWidth="1"/>
    <col min="14860" max="14860" width="10.140625" style="16" customWidth="1"/>
    <col min="14861" max="14861" width="8.42578125" style="16" customWidth="1"/>
    <col min="14862" max="14862" width="18.85546875" style="16" customWidth="1"/>
    <col min="14863" max="14863" width="10.28515625" style="16" customWidth="1"/>
    <col min="14864" max="14864" width="11.42578125" style="16"/>
    <col min="14865" max="14865" width="12.140625" style="16" customWidth="1"/>
    <col min="14866" max="14866" width="10.5703125" style="16" customWidth="1"/>
    <col min="14867" max="14867" width="12.42578125" style="16" customWidth="1"/>
    <col min="14868" max="14868" width="15.140625" style="16" customWidth="1"/>
    <col min="14869" max="14869" width="13.5703125" style="16" customWidth="1"/>
    <col min="14870" max="14870" width="13.140625" style="16" customWidth="1"/>
    <col min="14871" max="14871" width="15.7109375" style="16" customWidth="1"/>
    <col min="14872" max="14872" width="37.5703125" style="16" customWidth="1"/>
    <col min="14873" max="15094" width="11.42578125" style="16"/>
    <col min="15095" max="15095" width="10.5703125" style="16" customWidth="1"/>
    <col min="15096" max="15096" width="4.85546875" style="16" customWidth="1"/>
    <col min="15097" max="15097" width="32.42578125" style="16" customWidth="1"/>
    <col min="15098" max="15098" width="9.85546875" style="16" customWidth="1"/>
    <col min="15099" max="15099" width="10.140625" style="16" customWidth="1"/>
    <col min="15100" max="15100" width="12.28515625" style="16" customWidth="1"/>
    <col min="15101" max="15101" width="15.42578125" style="16" customWidth="1"/>
    <col min="15102" max="15102" width="11.85546875" style="16" customWidth="1"/>
    <col min="15103" max="15103" width="13.28515625" style="16" customWidth="1"/>
    <col min="15104" max="15104" width="15.28515625" style="16" customWidth="1"/>
    <col min="15105" max="15105" width="11.85546875" style="16" customWidth="1"/>
    <col min="15106" max="15106" width="6.140625" style="16" customWidth="1"/>
    <col min="15107" max="15107" width="11.85546875" style="16" customWidth="1"/>
    <col min="15108" max="15108" width="9.42578125" style="16" customWidth="1"/>
    <col min="15109" max="15109" width="14.7109375" style="16" customWidth="1"/>
    <col min="15110" max="15110" width="11.5703125" style="16" customWidth="1"/>
    <col min="15111" max="15111" width="0.42578125" style="16" customWidth="1"/>
    <col min="15112" max="15112" width="10.5703125" style="16" bestFit="1" customWidth="1"/>
    <col min="15113" max="15113" width="12.28515625" style="16" customWidth="1"/>
    <col min="15114" max="15114" width="12.5703125" style="16" customWidth="1"/>
    <col min="15115" max="15115" width="10.5703125" style="16" customWidth="1"/>
    <col min="15116" max="15116" width="10.140625" style="16" customWidth="1"/>
    <col min="15117" max="15117" width="8.42578125" style="16" customWidth="1"/>
    <col min="15118" max="15118" width="18.85546875" style="16" customWidth="1"/>
    <col min="15119" max="15119" width="10.28515625" style="16" customWidth="1"/>
    <col min="15120" max="15120" width="11.42578125" style="16"/>
    <col min="15121" max="15121" width="12.140625" style="16" customWidth="1"/>
    <col min="15122" max="15122" width="10.5703125" style="16" customWidth="1"/>
    <col min="15123" max="15123" width="12.42578125" style="16" customWidth="1"/>
    <col min="15124" max="15124" width="15.140625" style="16" customWidth="1"/>
    <col min="15125" max="15125" width="13.5703125" style="16" customWidth="1"/>
    <col min="15126" max="15126" width="13.140625" style="16" customWidth="1"/>
    <col min="15127" max="15127" width="15.7109375" style="16" customWidth="1"/>
    <col min="15128" max="15128" width="37.5703125" style="16" customWidth="1"/>
    <col min="15129" max="15350" width="11.42578125" style="16"/>
    <col min="15351" max="15351" width="10.5703125" style="16" customWidth="1"/>
    <col min="15352" max="15352" width="4.85546875" style="16" customWidth="1"/>
    <col min="15353" max="15353" width="32.42578125" style="16" customWidth="1"/>
    <col min="15354" max="15354" width="9.85546875" style="16" customWidth="1"/>
    <col min="15355" max="15355" width="10.140625" style="16" customWidth="1"/>
    <col min="15356" max="15356" width="12.28515625" style="16" customWidth="1"/>
    <col min="15357" max="15357" width="15.42578125" style="16" customWidth="1"/>
    <col min="15358" max="15358" width="11.85546875" style="16" customWidth="1"/>
    <col min="15359" max="15359" width="13.28515625" style="16" customWidth="1"/>
    <col min="15360" max="15360" width="15.28515625" style="16" customWidth="1"/>
    <col min="15361" max="15361" width="11.85546875" style="16" customWidth="1"/>
    <col min="15362" max="15362" width="6.140625" style="16" customWidth="1"/>
    <col min="15363" max="15363" width="11.85546875" style="16" customWidth="1"/>
    <col min="15364" max="15364" width="9.42578125" style="16" customWidth="1"/>
    <col min="15365" max="15365" width="14.7109375" style="16" customWidth="1"/>
    <col min="15366" max="15366" width="11.5703125" style="16" customWidth="1"/>
    <col min="15367" max="15367" width="0.42578125" style="16" customWidth="1"/>
    <col min="15368" max="15368" width="10.5703125" style="16" bestFit="1" customWidth="1"/>
    <col min="15369" max="15369" width="12.28515625" style="16" customWidth="1"/>
    <col min="15370" max="15370" width="12.5703125" style="16" customWidth="1"/>
    <col min="15371" max="15371" width="10.5703125" style="16" customWidth="1"/>
    <col min="15372" max="15372" width="10.140625" style="16" customWidth="1"/>
    <col min="15373" max="15373" width="8.42578125" style="16" customWidth="1"/>
    <col min="15374" max="15374" width="18.85546875" style="16" customWidth="1"/>
    <col min="15375" max="15375" width="10.28515625" style="16" customWidth="1"/>
    <col min="15376" max="15376" width="11.42578125" style="16"/>
    <col min="15377" max="15377" width="12.140625" style="16" customWidth="1"/>
    <col min="15378" max="15378" width="10.5703125" style="16" customWidth="1"/>
    <col min="15379" max="15379" width="12.42578125" style="16" customWidth="1"/>
    <col min="15380" max="15380" width="15.140625" style="16" customWidth="1"/>
    <col min="15381" max="15381" width="13.5703125" style="16" customWidth="1"/>
    <col min="15382" max="15382" width="13.140625" style="16" customWidth="1"/>
    <col min="15383" max="15383" width="15.7109375" style="16" customWidth="1"/>
    <col min="15384" max="15384" width="37.5703125" style="16" customWidth="1"/>
    <col min="15385" max="15606" width="11.42578125" style="16"/>
    <col min="15607" max="15607" width="10.5703125" style="16" customWidth="1"/>
    <col min="15608" max="15608" width="4.85546875" style="16" customWidth="1"/>
    <col min="15609" max="15609" width="32.42578125" style="16" customWidth="1"/>
    <col min="15610" max="15610" width="9.85546875" style="16" customWidth="1"/>
    <col min="15611" max="15611" width="10.140625" style="16" customWidth="1"/>
    <col min="15612" max="15612" width="12.28515625" style="16" customWidth="1"/>
    <col min="15613" max="15613" width="15.42578125" style="16" customWidth="1"/>
    <col min="15614" max="15614" width="11.85546875" style="16" customWidth="1"/>
    <col min="15615" max="15615" width="13.28515625" style="16" customWidth="1"/>
    <col min="15616" max="15616" width="15.28515625" style="16" customWidth="1"/>
    <col min="15617" max="15617" width="11.85546875" style="16" customWidth="1"/>
    <col min="15618" max="15618" width="6.140625" style="16" customWidth="1"/>
    <col min="15619" max="15619" width="11.85546875" style="16" customWidth="1"/>
    <col min="15620" max="15620" width="9.42578125" style="16" customWidth="1"/>
    <col min="15621" max="15621" width="14.7109375" style="16" customWidth="1"/>
    <col min="15622" max="15622" width="11.5703125" style="16" customWidth="1"/>
    <col min="15623" max="15623" width="0.42578125" style="16" customWidth="1"/>
    <col min="15624" max="15624" width="10.5703125" style="16" bestFit="1" customWidth="1"/>
    <col min="15625" max="15625" width="12.28515625" style="16" customWidth="1"/>
    <col min="15626" max="15626" width="12.5703125" style="16" customWidth="1"/>
    <col min="15627" max="15627" width="10.5703125" style="16" customWidth="1"/>
    <col min="15628" max="15628" width="10.140625" style="16" customWidth="1"/>
    <col min="15629" max="15629" width="8.42578125" style="16" customWidth="1"/>
    <col min="15630" max="15630" width="18.85546875" style="16" customWidth="1"/>
    <col min="15631" max="15631" width="10.28515625" style="16" customWidth="1"/>
    <col min="15632" max="15632" width="11.42578125" style="16"/>
    <col min="15633" max="15633" width="12.140625" style="16" customWidth="1"/>
    <col min="15634" max="15634" width="10.5703125" style="16" customWidth="1"/>
    <col min="15635" max="15635" width="12.42578125" style="16" customWidth="1"/>
    <col min="15636" max="15636" width="15.140625" style="16" customWidth="1"/>
    <col min="15637" max="15637" width="13.5703125" style="16" customWidth="1"/>
    <col min="15638" max="15638" width="13.140625" style="16" customWidth="1"/>
    <col min="15639" max="15639" width="15.7109375" style="16" customWidth="1"/>
    <col min="15640" max="15640" width="37.5703125" style="16" customWidth="1"/>
    <col min="15641" max="15862" width="11.42578125" style="16"/>
    <col min="15863" max="15863" width="10.5703125" style="16" customWidth="1"/>
    <col min="15864" max="15864" width="4.85546875" style="16" customWidth="1"/>
    <col min="15865" max="15865" width="32.42578125" style="16" customWidth="1"/>
    <col min="15866" max="15866" width="9.85546875" style="16" customWidth="1"/>
    <col min="15867" max="15867" width="10.140625" style="16" customWidth="1"/>
    <col min="15868" max="15868" width="12.28515625" style="16" customWidth="1"/>
    <col min="15869" max="15869" width="15.42578125" style="16" customWidth="1"/>
    <col min="15870" max="15870" width="11.85546875" style="16" customWidth="1"/>
    <col min="15871" max="15871" width="13.28515625" style="16" customWidth="1"/>
    <col min="15872" max="15872" width="15.28515625" style="16" customWidth="1"/>
    <col min="15873" max="15873" width="11.85546875" style="16" customWidth="1"/>
    <col min="15874" max="15874" width="6.140625" style="16" customWidth="1"/>
    <col min="15875" max="15875" width="11.85546875" style="16" customWidth="1"/>
    <col min="15876" max="15876" width="9.42578125" style="16" customWidth="1"/>
    <col min="15877" max="15877" width="14.7109375" style="16" customWidth="1"/>
    <col min="15878" max="15878" width="11.5703125" style="16" customWidth="1"/>
    <col min="15879" max="15879" width="0.42578125" style="16" customWidth="1"/>
    <col min="15880" max="15880" width="10.5703125" style="16" bestFit="1" customWidth="1"/>
    <col min="15881" max="15881" width="12.28515625" style="16" customWidth="1"/>
    <col min="15882" max="15882" width="12.5703125" style="16" customWidth="1"/>
    <col min="15883" max="15883" width="10.5703125" style="16" customWidth="1"/>
    <col min="15884" max="15884" width="10.140625" style="16" customWidth="1"/>
    <col min="15885" max="15885" width="8.42578125" style="16" customWidth="1"/>
    <col min="15886" max="15886" width="18.85546875" style="16" customWidth="1"/>
    <col min="15887" max="15887" width="10.28515625" style="16" customWidth="1"/>
    <col min="15888" max="15888" width="11.42578125" style="16"/>
    <col min="15889" max="15889" width="12.140625" style="16" customWidth="1"/>
    <col min="15890" max="15890" width="10.5703125" style="16" customWidth="1"/>
    <col min="15891" max="15891" width="12.42578125" style="16" customWidth="1"/>
    <col min="15892" max="15892" width="15.140625" style="16" customWidth="1"/>
    <col min="15893" max="15893" width="13.5703125" style="16" customWidth="1"/>
    <col min="15894" max="15894" width="13.140625" style="16" customWidth="1"/>
    <col min="15895" max="15895" width="15.7109375" style="16" customWidth="1"/>
    <col min="15896" max="15896" width="37.5703125" style="16" customWidth="1"/>
    <col min="15897" max="16118" width="11.42578125" style="16"/>
    <col min="16119" max="16119" width="10.5703125" style="16" customWidth="1"/>
    <col min="16120" max="16120" width="4.85546875" style="16" customWidth="1"/>
    <col min="16121" max="16121" width="32.42578125" style="16" customWidth="1"/>
    <col min="16122" max="16122" width="9.85546875" style="16" customWidth="1"/>
    <col min="16123" max="16123" width="10.140625" style="16" customWidth="1"/>
    <col min="16124" max="16124" width="12.28515625" style="16" customWidth="1"/>
    <col min="16125" max="16125" width="15.42578125" style="16" customWidth="1"/>
    <col min="16126" max="16126" width="11.85546875" style="16" customWidth="1"/>
    <col min="16127" max="16127" width="13.28515625" style="16" customWidth="1"/>
    <col min="16128" max="16128" width="15.28515625" style="16" customWidth="1"/>
    <col min="16129" max="16129" width="11.85546875" style="16" customWidth="1"/>
    <col min="16130" max="16130" width="6.140625" style="16" customWidth="1"/>
    <col min="16131" max="16131" width="11.85546875" style="16" customWidth="1"/>
    <col min="16132" max="16132" width="9.42578125" style="16" customWidth="1"/>
    <col min="16133" max="16133" width="14.7109375" style="16" customWidth="1"/>
    <col min="16134" max="16134" width="11.5703125" style="16" customWidth="1"/>
    <col min="16135" max="16135" width="0.42578125" style="16" customWidth="1"/>
    <col min="16136" max="16136" width="10.5703125" style="16" bestFit="1" customWidth="1"/>
    <col min="16137" max="16137" width="12.28515625" style="16" customWidth="1"/>
    <col min="16138" max="16138" width="12.5703125" style="16" customWidth="1"/>
    <col min="16139" max="16139" width="10.5703125" style="16" customWidth="1"/>
    <col min="16140" max="16140" width="10.140625" style="16" customWidth="1"/>
    <col min="16141" max="16141" width="8.42578125" style="16" customWidth="1"/>
    <col min="16142" max="16142" width="18.85546875" style="16" customWidth="1"/>
    <col min="16143" max="16143" width="10.28515625" style="16" customWidth="1"/>
    <col min="16144" max="16144" width="11.42578125" style="16"/>
    <col min="16145" max="16145" width="12.140625" style="16" customWidth="1"/>
    <col min="16146" max="16146" width="10.5703125" style="16" customWidth="1"/>
    <col min="16147" max="16147" width="12.42578125" style="16" customWidth="1"/>
    <col min="16148" max="16148" width="15.140625" style="16" customWidth="1"/>
    <col min="16149" max="16149" width="13.5703125" style="16" customWidth="1"/>
    <col min="16150" max="16150" width="13.140625" style="16" customWidth="1"/>
    <col min="16151" max="16151" width="15.7109375" style="16" customWidth="1"/>
    <col min="16152" max="16152" width="37.5703125" style="16" customWidth="1"/>
    <col min="16153" max="16384" width="11.42578125" style="16"/>
  </cols>
  <sheetData>
    <row r="1" spans="1:24" x14ac:dyDescent="0.25">
      <c r="C1" s="243" t="s">
        <v>202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13"/>
      <c r="W1" s="14"/>
      <c r="X1" s="13"/>
    </row>
    <row r="2" spans="1:24" x14ac:dyDescent="0.25">
      <c r="C2" s="15" t="s">
        <v>1</v>
      </c>
      <c r="D2" s="13"/>
      <c r="E2" s="244" t="s">
        <v>2</v>
      </c>
      <c r="F2" s="244"/>
      <c r="G2" s="244"/>
      <c r="H2" s="244"/>
      <c r="I2" s="244"/>
      <c r="J2" s="244"/>
      <c r="K2" s="244"/>
      <c r="L2" s="244" t="s">
        <v>3</v>
      </c>
      <c r="M2" s="244"/>
      <c r="N2" s="244"/>
      <c r="O2" s="244"/>
      <c r="P2" s="244"/>
      <c r="Q2" s="244"/>
      <c r="R2" s="244"/>
      <c r="S2" s="244"/>
      <c r="T2" s="244"/>
      <c r="U2" s="13"/>
      <c r="V2" s="13"/>
      <c r="W2" s="14"/>
      <c r="X2" s="13"/>
    </row>
    <row r="3" spans="1:24" ht="48" x14ac:dyDescent="0.25">
      <c r="A3" s="245" t="s">
        <v>4</v>
      </c>
      <c r="B3" s="17" t="s">
        <v>5</v>
      </c>
      <c r="C3" s="17" t="s">
        <v>6</v>
      </c>
      <c r="D3" s="17" t="s">
        <v>7</v>
      </c>
      <c r="E3" s="50" t="s">
        <v>8</v>
      </c>
      <c r="F3" s="50" t="s">
        <v>9</v>
      </c>
      <c r="G3" s="50" t="s">
        <v>10</v>
      </c>
      <c r="H3" s="50" t="s">
        <v>11</v>
      </c>
      <c r="I3" s="50" t="s">
        <v>15</v>
      </c>
      <c r="J3" s="50" t="s">
        <v>178</v>
      </c>
      <c r="K3" s="50" t="s">
        <v>17</v>
      </c>
      <c r="L3" s="50" t="s">
        <v>18</v>
      </c>
      <c r="M3" s="50" t="s">
        <v>171</v>
      </c>
      <c r="N3" s="50" t="s">
        <v>20</v>
      </c>
      <c r="O3" s="50" t="s">
        <v>198</v>
      </c>
      <c r="P3" s="50" t="s">
        <v>23</v>
      </c>
      <c r="Q3" s="50" t="s">
        <v>24</v>
      </c>
      <c r="R3" s="50" t="s">
        <v>25</v>
      </c>
      <c r="S3" s="50" t="s">
        <v>26</v>
      </c>
      <c r="T3" s="50" t="s">
        <v>27</v>
      </c>
      <c r="U3" s="17" t="s">
        <v>28</v>
      </c>
      <c r="V3" s="17"/>
      <c r="W3" s="18"/>
      <c r="X3" s="17" t="s">
        <v>29</v>
      </c>
    </row>
    <row r="4" spans="1:24" x14ac:dyDescent="0.25">
      <c r="A4" s="246"/>
      <c r="B4" s="13">
        <v>1</v>
      </c>
      <c r="C4" s="19" t="s">
        <v>31</v>
      </c>
      <c r="D4" s="20" t="s">
        <v>32</v>
      </c>
      <c r="E4" s="22">
        <v>4500000</v>
      </c>
      <c r="F4" s="22">
        <v>15</v>
      </c>
      <c r="G4" s="22">
        <f t="shared" ref="G4:G8" si="0">+E4/30*F4</f>
        <v>2250000</v>
      </c>
      <c r="H4" s="22"/>
      <c r="I4" s="22"/>
      <c r="J4" s="22"/>
      <c r="K4" s="22">
        <f t="shared" ref="K4:K29" si="1">SUM(G4:I4)+J4</f>
        <v>2250000</v>
      </c>
      <c r="L4" s="22">
        <f t="shared" ref="L4:L40" si="2">+G4*4%</f>
        <v>90000</v>
      </c>
      <c r="M4" s="22">
        <f>+G4*5%</f>
        <v>112500</v>
      </c>
      <c r="N4" s="22"/>
      <c r="O4" s="22"/>
      <c r="P4" s="22"/>
      <c r="Q4" s="22"/>
      <c r="R4" s="22"/>
      <c r="S4" s="22"/>
      <c r="T4" s="22">
        <f t="shared" ref="T4:T43" si="3">SUM(L4:S4)</f>
        <v>202500</v>
      </c>
      <c r="U4" s="23">
        <f>+K4-T4</f>
        <v>2047500</v>
      </c>
      <c r="V4" s="24"/>
      <c r="W4" s="14"/>
      <c r="X4" s="24">
        <f t="shared" ref="X4:X64" si="4">U4+V4-W4</f>
        <v>2047500</v>
      </c>
    </row>
    <row r="5" spans="1:24" ht="24" x14ac:dyDescent="0.25">
      <c r="A5" s="246"/>
      <c r="B5" s="13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4"/>
      <c r="W5" s="14"/>
      <c r="X5" s="24">
        <f t="shared" si="4"/>
        <v>4408936</v>
      </c>
    </row>
    <row r="6" spans="1:24" x14ac:dyDescent="0.25">
      <c r="A6" s="246"/>
      <c r="B6" s="13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0"/>
        <v>4500000</v>
      </c>
      <c r="H6" s="22"/>
      <c r="I6" s="22"/>
      <c r="J6" s="22"/>
      <c r="K6" s="22">
        <f t="shared" si="1"/>
        <v>4500000</v>
      </c>
      <c r="L6" s="22">
        <f t="shared" si="2"/>
        <v>180000</v>
      </c>
      <c r="M6" s="22">
        <f t="shared" si="5"/>
        <v>225000</v>
      </c>
      <c r="N6" s="22"/>
      <c r="O6" s="22"/>
      <c r="P6" s="22">
        <v>52000</v>
      </c>
      <c r="Q6" s="22"/>
      <c r="R6" s="22"/>
      <c r="S6" s="22"/>
      <c r="T6" s="22">
        <f t="shared" si="3"/>
        <v>457000</v>
      </c>
      <c r="U6" s="23">
        <f>+K6-T6</f>
        <v>4043000</v>
      </c>
      <c r="V6" s="24"/>
      <c r="W6" s="14"/>
      <c r="X6" s="24">
        <f t="shared" si="4"/>
        <v>4043000</v>
      </c>
    </row>
    <row r="7" spans="1:24" x14ac:dyDescent="0.25">
      <c r="A7" s="246"/>
      <c r="B7" s="13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4"/>
      <c r="W7" s="14"/>
      <c r="X7" s="24">
        <f t="shared" si="4"/>
        <v>3833211</v>
      </c>
    </row>
    <row r="8" spans="1:24" x14ac:dyDescent="0.25">
      <c r="A8" s="246"/>
      <c r="B8" s="13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>
        <v>338920</v>
      </c>
      <c r="K8" s="22">
        <f t="shared" si="1"/>
        <v>6824190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6353219</v>
      </c>
      <c r="V8" s="24"/>
      <c r="W8" s="14"/>
      <c r="X8" s="24">
        <f t="shared" si="4"/>
        <v>6353219</v>
      </c>
    </row>
    <row r="9" spans="1:24" ht="24" x14ac:dyDescent="0.25">
      <c r="A9" s="246"/>
      <c r="B9" s="13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4"/>
      <c r="W9" s="14"/>
      <c r="X9" s="24">
        <f t="shared" si="4"/>
        <v>2873705</v>
      </c>
    </row>
    <row r="10" spans="1:24" x14ac:dyDescent="0.25">
      <c r="A10" s="246"/>
      <c r="B10" s="13">
        <v>7</v>
      </c>
      <c r="C10" s="19" t="s">
        <v>42</v>
      </c>
      <c r="D10" s="20" t="s">
        <v>32</v>
      </c>
      <c r="E10" s="22">
        <v>4200000</v>
      </c>
      <c r="F10" s="22">
        <v>17</v>
      </c>
      <c r="G10" s="22">
        <f>E10/30*F10</f>
        <v>2380000</v>
      </c>
      <c r="H10" s="22"/>
      <c r="I10" s="22"/>
      <c r="J10" s="22">
        <v>340000</v>
      </c>
      <c r="K10" s="22">
        <f t="shared" ref="K10" si="6">SUM(G10:I10)+J10</f>
        <v>2720000</v>
      </c>
      <c r="L10" s="22">
        <f t="shared" si="2"/>
        <v>95200</v>
      </c>
      <c r="M10" s="22">
        <v>95200</v>
      </c>
      <c r="N10" s="22"/>
      <c r="O10" s="22"/>
      <c r="P10" s="25">
        <v>18000</v>
      </c>
      <c r="Q10" s="22"/>
      <c r="R10" s="22"/>
      <c r="S10" s="22"/>
      <c r="T10" s="22">
        <f t="shared" ref="T10" si="7">SUM(L10:S10)</f>
        <v>208400</v>
      </c>
      <c r="U10" s="23">
        <f>K10-T10</f>
        <v>2511600</v>
      </c>
      <c r="V10" s="24"/>
      <c r="W10" s="14"/>
      <c r="X10" s="24">
        <f t="shared" si="4"/>
        <v>2511600</v>
      </c>
    </row>
    <row r="11" spans="1:24" x14ac:dyDescent="0.25">
      <c r="A11" s="246"/>
      <c r="B11" s="13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8">+K11-T11</f>
        <v>4679752</v>
      </c>
      <c r="V11" s="24"/>
      <c r="W11" s="14"/>
      <c r="X11" s="24">
        <f t="shared" si="4"/>
        <v>4679752</v>
      </c>
    </row>
    <row r="12" spans="1:24" ht="25.5" customHeight="1" x14ac:dyDescent="0.25">
      <c r="A12" s="246"/>
      <c r="B12" s="13">
        <v>9</v>
      </c>
      <c r="C12" s="30" t="s">
        <v>47</v>
      </c>
      <c r="D12" s="26" t="s">
        <v>32</v>
      </c>
      <c r="E12" s="22">
        <v>3745000</v>
      </c>
      <c r="F12" s="22">
        <v>19</v>
      </c>
      <c r="G12" s="22">
        <f t="shared" ref="G12:G15" si="9">+E12/30*F12</f>
        <v>2371833.333333333</v>
      </c>
      <c r="H12" s="22"/>
      <c r="I12" s="22">
        <v>535000</v>
      </c>
      <c r="J12" s="22">
        <f>+E12-G12</f>
        <v>1373166.666666667</v>
      </c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8"/>
        <v>3942950</v>
      </c>
      <c r="V12" s="24"/>
      <c r="W12" s="14"/>
      <c r="X12" s="24">
        <f t="shared" si="4"/>
        <v>3942950</v>
      </c>
    </row>
    <row r="13" spans="1:24" x14ac:dyDescent="0.25">
      <c r="A13" s="246"/>
      <c r="B13" s="13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1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3"/>
        <v>408000</v>
      </c>
      <c r="U13" s="23">
        <f t="shared" si="8"/>
        <v>4092000</v>
      </c>
      <c r="V13" s="24"/>
      <c r="W13" s="14"/>
      <c r="X13" s="24">
        <f t="shared" si="4"/>
        <v>4092000</v>
      </c>
    </row>
    <row r="14" spans="1:24" x14ac:dyDescent="0.25">
      <c r="A14" s="246"/>
      <c r="B14" s="13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si="1"/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si="3"/>
        <v>410000</v>
      </c>
      <c r="U14" s="23">
        <f t="shared" si="8"/>
        <v>3790000</v>
      </c>
      <c r="V14" s="24"/>
      <c r="W14" s="14"/>
      <c r="X14" s="24">
        <f t="shared" si="4"/>
        <v>3790000</v>
      </c>
    </row>
    <row r="15" spans="1:24" x14ac:dyDescent="0.25">
      <c r="A15" s="246"/>
      <c r="B15" s="13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8"/>
        <v>4454479</v>
      </c>
      <c r="V15" s="24"/>
      <c r="W15" s="14"/>
      <c r="X15" s="24">
        <f t="shared" si="4"/>
        <v>4454479</v>
      </c>
    </row>
    <row r="16" spans="1:24" ht="24" x14ac:dyDescent="0.25">
      <c r="A16" s="246"/>
      <c r="B16" s="13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>
        <v>145904</v>
      </c>
      <c r="K16" s="22">
        <f t="shared" si="1"/>
        <v>6135904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5587152</v>
      </c>
      <c r="V16" s="24"/>
      <c r="W16" s="14"/>
      <c r="X16" s="24">
        <f t="shared" si="4"/>
        <v>5587152</v>
      </c>
    </row>
    <row r="17" spans="1:24" x14ac:dyDescent="0.25">
      <c r="A17" s="246"/>
      <c r="B17" s="13">
        <v>14</v>
      </c>
      <c r="C17" s="19" t="s">
        <v>56</v>
      </c>
      <c r="D17" s="20" t="s">
        <v>32</v>
      </c>
      <c r="E17" s="22">
        <v>5000000</v>
      </c>
      <c r="F17" s="22">
        <v>30</v>
      </c>
      <c r="G17" s="22">
        <f t="shared" ref="G17:G23" si="10">E17/30*F17</f>
        <v>5000000</v>
      </c>
      <c r="H17" s="22"/>
      <c r="I17" s="22"/>
      <c r="J17" s="22"/>
      <c r="K17" s="22">
        <f t="shared" si="1"/>
        <v>5000000</v>
      </c>
      <c r="L17" s="22">
        <f t="shared" si="2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52"/>
      <c r="T17" s="22">
        <f t="shared" si="3"/>
        <v>589833</v>
      </c>
      <c r="U17" s="23">
        <f>K17-T17</f>
        <v>4410167</v>
      </c>
      <c r="V17" s="24"/>
      <c r="W17" s="14"/>
      <c r="X17" s="24">
        <f t="shared" si="4"/>
        <v>4410167</v>
      </c>
    </row>
    <row r="18" spans="1:24" x14ac:dyDescent="0.25">
      <c r="A18" s="246"/>
      <c r="B18" s="13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0"/>
        <v>5500000</v>
      </c>
      <c r="H18" s="22"/>
      <c r="I18" s="22"/>
      <c r="J18" s="22"/>
      <c r="K18" s="22">
        <f t="shared" ref="K18" si="11">SUM(G18:I18)+J18</f>
        <v>5500000</v>
      </c>
      <c r="L18" s="22">
        <f t="shared" si="2"/>
        <v>220000</v>
      </c>
      <c r="M18" s="22">
        <f t="shared" si="5"/>
        <v>275000</v>
      </c>
      <c r="N18" s="22"/>
      <c r="O18" s="22"/>
      <c r="P18" s="25">
        <v>98000</v>
      </c>
      <c r="Q18" s="22"/>
      <c r="R18" s="22"/>
      <c r="S18" s="52"/>
      <c r="T18" s="22">
        <f t="shared" si="3"/>
        <v>593000</v>
      </c>
      <c r="U18" s="23">
        <f>K18-T18</f>
        <v>4907000</v>
      </c>
      <c r="V18" s="24"/>
      <c r="W18" s="14"/>
      <c r="X18" s="24">
        <f t="shared" si="4"/>
        <v>4907000</v>
      </c>
    </row>
    <row r="19" spans="1:24" x14ac:dyDescent="0.25">
      <c r="A19" s="246"/>
      <c r="B19" s="13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0"/>
        <v>4472600</v>
      </c>
      <c r="H19" s="22"/>
      <c r="I19" s="22">
        <v>1621317</v>
      </c>
      <c r="J19" s="22"/>
      <c r="K19" s="22">
        <f t="shared" si="1"/>
        <v>6093917</v>
      </c>
      <c r="L19" s="22">
        <f t="shared" si="2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3"/>
        <v>2098718</v>
      </c>
      <c r="U19" s="23">
        <f>+K19-T19</f>
        <v>3995199</v>
      </c>
      <c r="V19" s="24"/>
      <c r="W19" s="14"/>
      <c r="X19" s="24">
        <f t="shared" si="4"/>
        <v>3995199</v>
      </c>
    </row>
    <row r="20" spans="1:24" x14ac:dyDescent="0.25">
      <c r="A20" s="246"/>
      <c r="B20" s="13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0"/>
        <v>4000000.0000000005</v>
      </c>
      <c r="H20" s="22"/>
      <c r="I20" s="22"/>
      <c r="J20" s="22"/>
      <c r="K20" s="22">
        <f t="shared" si="1"/>
        <v>4000000.0000000005</v>
      </c>
      <c r="L20" s="22">
        <f t="shared" si="2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3"/>
        <v>391000.00000000006</v>
      </c>
      <c r="U20" s="23">
        <f>+K20-T20</f>
        <v>3609000.0000000005</v>
      </c>
      <c r="V20" s="24"/>
      <c r="W20" s="14"/>
      <c r="X20" s="24">
        <f t="shared" si="4"/>
        <v>3609000.0000000005</v>
      </c>
    </row>
    <row r="21" spans="1:24" ht="24" x14ac:dyDescent="0.25">
      <c r="A21" s="246"/>
      <c r="B21" s="13">
        <v>18</v>
      </c>
      <c r="C21" s="19" t="s">
        <v>203</v>
      </c>
      <c r="D21" s="20" t="s">
        <v>32</v>
      </c>
      <c r="E21" s="22">
        <v>5000000</v>
      </c>
      <c r="F21" s="22">
        <v>13</v>
      </c>
      <c r="G21" s="22">
        <f t="shared" si="10"/>
        <v>2166666.6666666665</v>
      </c>
      <c r="H21" s="22"/>
      <c r="I21" s="22"/>
      <c r="J21" s="22"/>
      <c r="K21" s="22">
        <f t="shared" ref="K21" si="12">SUM(G21:I21)+J21</f>
        <v>2166666.6666666665</v>
      </c>
      <c r="L21" s="22">
        <f t="shared" si="2"/>
        <v>86666.666666666657</v>
      </c>
      <c r="M21" s="22">
        <v>86667</v>
      </c>
      <c r="N21" s="22"/>
      <c r="O21" s="22"/>
      <c r="P21" s="25">
        <v>31000</v>
      </c>
      <c r="Q21" s="22"/>
      <c r="R21" s="22"/>
      <c r="S21" s="22"/>
      <c r="T21" s="22">
        <f t="shared" si="3"/>
        <v>204333.66666666666</v>
      </c>
      <c r="U21" s="23">
        <f>+K21-T21</f>
        <v>1962332.9999999998</v>
      </c>
      <c r="V21" s="24"/>
      <c r="W21" s="14"/>
      <c r="X21" s="24">
        <f t="shared" si="4"/>
        <v>1962332.9999999998</v>
      </c>
    </row>
    <row r="22" spans="1:24" x14ac:dyDescent="0.25">
      <c r="A22" s="246"/>
      <c r="B22" s="13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1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>
        <v>241100</v>
      </c>
      <c r="T22" s="22">
        <f t="shared" si="3"/>
        <v>838071.75</v>
      </c>
      <c r="U22" s="23">
        <f>K22-T22</f>
        <v>4193603.25</v>
      </c>
      <c r="V22" s="24"/>
      <c r="W22" s="14"/>
      <c r="X22" s="24">
        <f t="shared" si="4"/>
        <v>4193603.25</v>
      </c>
    </row>
    <row r="23" spans="1:24" x14ac:dyDescent="0.25">
      <c r="A23" s="246"/>
      <c r="B23" s="13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0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4"/>
      <c r="W23" s="14"/>
      <c r="X23" s="24">
        <f t="shared" si="4"/>
        <v>4296000</v>
      </c>
    </row>
    <row r="24" spans="1:24" x14ac:dyDescent="0.25">
      <c r="A24" s="246"/>
      <c r="B24" s="13">
        <v>21</v>
      </c>
      <c r="C24" s="19" t="s">
        <v>65</v>
      </c>
      <c r="D24" s="20" t="s">
        <v>32</v>
      </c>
      <c r="E24" s="22">
        <v>4500000</v>
      </c>
      <c r="F24" s="22">
        <v>22</v>
      </c>
      <c r="G24" s="22">
        <f t="shared" ref="G24:G45" si="13">+E24/30*F24</f>
        <v>3300000</v>
      </c>
      <c r="H24" s="22">
        <v>800040</v>
      </c>
      <c r="I24" s="22"/>
      <c r="J24" s="22"/>
      <c r="K24" s="22">
        <f t="shared" si="1"/>
        <v>4100040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3622894</v>
      </c>
      <c r="V24" s="24"/>
      <c r="W24" s="14"/>
      <c r="X24" s="24">
        <f t="shared" si="4"/>
        <v>3622894</v>
      </c>
    </row>
    <row r="25" spans="1:24" x14ac:dyDescent="0.25">
      <c r="A25" s="246"/>
      <c r="B25" s="13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4"/>
      <c r="W25" s="14"/>
      <c r="X25" s="24">
        <f t="shared" si="4"/>
        <v>3608936.0000000005</v>
      </c>
    </row>
    <row r="26" spans="1:24" x14ac:dyDescent="0.25">
      <c r="A26" s="246"/>
      <c r="B26" s="13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3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4">+K26-T26</f>
        <v>4420146</v>
      </c>
      <c r="V26" s="24"/>
      <c r="W26" s="14"/>
      <c r="X26" s="24">
        <f t="shared" si="4"/>
        <v>4420146</v>
      </c>
    </row>
    <row r="27" spans="1:24" ht="24" x14ac:dyDescent="0.25">
      <c r="A27" s="246"/>
      <c r="B27" s="13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3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4"/>
        <v>3584143</v>
      </c>
      <c r="V27" s="24"/>
      <c r="W27" s="14"/>
      <c r="X27" s="24">
        <f t="shared" si="4"/>
        <v>3584143</v>
      </c>
    </row>
    <row r="28" spans="1:24" ht="24" x14ac:dyDescent="0.25">
      <c r="A28" s="246"/>
      <c r="B28" s="13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3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4"/>
        <v>4060373</v>
      </c>
      <c r="V28" s="24"/>
      <c r="W28" s="14"/>
      <c r="X28" s="24">
        <f t="shared" si="4"/>
        <v>4060373</v>
      </c>
    </row>
    <row r="29" spans="1:24" x14ac:dyDescent="0.25">
      <c r="A29" s="246"/>
      <c r="B29" s="13">
        <v>26</v>
      </c>
      <c r="C29" s="30" t="s">
        <v>80</v>
      </c>
      <c r="D29" s="26" t="s">
        <v>32</v>
      </c>
      <c r="E29" s="22">
        <v>4500000</v>
      </c>
      <c r="F29" s="22">
        <v>16</v>
      </c>
      <c r="G29" s="22">
        <f t="shared" si="13"/>
        <v>2400000</v>
      </c>
      <c r="H29" s="22"/>
      <c r="I29" s="22"/>
      <c r="J29" s="22">
        <f>+E29-G29</f>
        <v>2100000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3"/>
        <v>981006</v>
      </c>
      <c r="U29" s="23">
        <f>K29-T29</f>
        <v>3518994</v>
      </c>
      <c r="V29" s="24"/>
      <c r="W29" s="14"/>
      <c r="X29" s="24">
        <f t="shared" si="4"/>
        <v>3518994</v>
      </c>
    </row>
    <row r="30" spans="1:24" ht="24" x14ac:dyDescent="0.25">
      <c r="A30" s="246"/>
      <c r="B30" s="13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3" si="15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4"/>
      <c r="W30" s="14"/>
      <c r="X30" s="24">
        <f t="shared" si="4"/>
        <v>5304000</v>
      </c>
    </row>
    <row r="31" spans="1:24" x14ac:dyDescent="0.25">
      <c r="A31" s="246"/>
      <c r="B31" s="13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3"/>
        <v>6900000</v>
      </c>
      <c r="H31" s="22"/>
      <c r="I31" s="22">
        <v>1500000</v>
      </c>
      <c r="J31" s="22"/>
      <c r="K31" s="22">
        <f t="shared" si="15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>
        <v>345000</v>
      </c>
      <c r="T31" s="22">
        <f t="shared" si="3"/>
        <v>1311000</v>
      </c>
      <c r="U31" s="23">
        <f>K31-T31</f>
        <v>7089000</v>
      </c>
      <c r="V31" s="24"/>
      <c r="W31" s="14"/>
      <c r="X31" s="24">
        <f t="shared" si="4"/>
        <v>7089000</v>
      </c>
    </row>
    <row r="32" spans="1:24" x14ac:dyDescent="0.25">
      <c r="A32" s="246"/>
      <c r="B32" s="13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3"/>
        <v>5000000</v>
      </c>
      <c r="H32" s="22"/>
      <c r="I32" s="22"/>
      <c r="J32" s="22"/>
      <c r="K32" s="22">
        <f t="shared" si="15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16">+K32-T32</f>
        <v>4410167</v>
      </c>
      <c r="V32" s="24"/>
      <c r="W32" s="14"/>
      <c r="X32" s="24">
        <f t="shared" si="4"/>
        <v>4410167</v>
      </c>
    </row>
    <row r="33" spans="1:24" x14ac:dyDescent="0.25">
      <c r="A33" s="246"/>
      <c r="B33" s="13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3"/>
        <v>4000000.0000000005</v>
      </c>
      <c r="H33" s="22"/>
      <c r="I33" s="22"/>
      <c r="J33" s="22"/>
      <c r="K33" s="22">
        <f t="shared" si="15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S33" s="34">
        <v>2000000</v>
      </c>
      <c r="T33" s="22">
        <f>SUM(L33:S33)</f>
        <v>2360000</v>
      </c>
      <c r="U33" s="23">
        <f t="shared" si="16"/>
        <v>1640000.0000000005</v>
      </c>
      <c r="V33" s="24"/>
      <c r="W33" s="14"/>
      <c r="X33" s="24">
        <f t="shared" si="4"/>
        <v>1640000.0000000005</v>
      </c>
    </row>
    <row r="34" spans="1:24" ht="26.25" customHeight="1" x14ac:dyDescent="0.25">
      <c r="A34" s="246"/>
      <c r="B34" s="13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3"/>
        <v>4500000</v>
      </c>
      <c r="H34" s="22"/>
      <c r="I34" s="22"/>
      <c r="J34" s="22"/>
      <c r="K34" s="22">
        <f t="shared" si="15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6"/>
        <v>3996000</v>
      </c>
      <c r="V34" s="24"/>
      <c r="W34" s="14"/>
      <c r="X34" s="24">
        <f t="shared" si="4"/>
        <v>3996000</v>
      </c>
    </row>
    <row r="35" spans="1:24" ht="26.25" customHeight="1" x14ac:dyDescent="0.25">
      <c r="A35" s="246"/>
      <c r="B35" s="13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3"/>
        <v>4250000</v>
      </c>
      <c r="H35" s="22"/>
      <c r="I35" s="22"/>
      <c r="J35" s="22"/>
      <c r="K35" s="22">
        <f t="shared" ref="K35" si="17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6"/>
        <v>3829500</v>
      </c>
      <c r="V35" s="24"/>
      <c r="W35" s="14"/>
      <c r="X35" s="24">
        <f t="shared" si="4"/>
        <v>3829500</v>
      </c>
    </row>
    <row r="36" spans="1:24" ht="24" x14ac:dyDescent="0.25">
      <c r="A36" s="246"/>
      <c r="B36" s="13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3"/>
        <v>3000000</v>
      </c>
      <c r="H36" s="22"/>
      <c r="I36" s="22"/>
      <c r="J36" s="22"/>
      <c r="K36" s="22">
        <f t="shared" si="15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6"/>
        <v>2730000</v>
      </c>
      <c r="V36" s="24"/>
      <c r="W36" s="14"/>
      <c r="X36" s="24">
        <f t="shared" si="4"/>
        <v>2730000</v>
      </c>
    </row>
    <row r="37" spans="1:24" x14ac:dyDescent="0.25">
      <c r="A37" s="246"/>
      <c r="B37" s="13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3"/>
        <v>4500000</v>
      </c>
      <c r="H37" s="22"/>
      <c r="I37" s="22">
        <v>300000</v>
      </c>
      <c r="J37" s="22"/>
      <c r="K37" s="22">
        <f t="shared" si="15"/>
        <v>4800000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3"/>
        <v>413021</v>
      </c>
      <c r="U37" s="23">
        <f t="shared" si="16"/>
        <v>4386979</v>
      </c>
      <c r="V37" s="24"/>
      <c r="W37" s="14"/>
      <c r="X37" s="24">
        <f t="shared" si="4"/>
        <v>4386979</v>
      </c>
    </row>
    <row r="38" spans="1:24" ht="30.75" customHeight="1" x14ac:dyDescent="0.25">
      <c r="A38" s="246"/>
      <c r="B38" s="13">
        <v>35</v>
      </c>
      <c r="C38" s="19" t="s">
        <v>94</v>
      </c>
      <c r="D38" s="20" t="s">
        <v>32</v>
      </c>
      <c r="E38" s="22">
        <v>4815000</v>
      </c>
      <c r="F38" s="22">
        <v>25</v>
      </c>
      <c r="G38" s="22">
        <f t="shared" si="13"/>
        <v>4012500</v>
      </c>
      <c r="H38" s="22"/>
      <c r="I38" s="22">
        <v>350000</v>
      </c>
      <c r="J38" s="22">
        <f>+E38-G38</f>
        <v>802500</v>
      </c>
      <c r="K38" s="22">
        <f t="shared" si="15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4"/>
      <c r="W38" s="14"/>
      <c r="X38" s="24">
        <f t="shared" si="4"/>
        <v>4642650</v>
      </c>
    </row>
    <row r="39" spans="1:24" x14ac:dyDescent="0.25">
      <c r="A39" s="246"/>
      <c r="B39" s="13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3"/>
        <v>6900000</v>
      </c>
      <c r="H39" s="22"/>
      <c r="I39" s="22"/>
      <c r="J39" s="22"/>
      <c r="K39" s="22">
        <f t="shared" si="15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3"/>
        <v>840000</v>
      </c>
      <c r="U39" s="23">
        <f>K39-T39</f>
        <v>6060000</v>
      </c>
      <c r="V39" s="24"/>
      <c r="W39" s="14"/>
      <c r="X39" s="24">
        <f t="shared" si="4"/>
        <v>6060000</v>
      </c>
    </row>
    <row r="40" spans="1:24" x14ac:dyDescent="0.25">
      <c r="A40" s="247"/>
      <c r="B40" s="13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3"/>
        <v>4000000.0000000005</v>
      </c>
      <c r="H40" s="22"/>
      <c r="I40" s="22"/>
      <c r="J40" s="22"/>
      <c r="K40" s="22">
        <f t="shared" si="15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3"/>
        <v>391000.00000000006</v>
      </c>
      <c r="U40" s="23">
        <f>K40-T40</f>
        <v>3609000.0000000005</v>
      </c>
      <c r="V40" s="24"/>
      <c r="W40" s="14"/>
      <c r="X40" s="24">
        <f t="shared" si="4"/>
        <v>3609000.0000000005</v>
      </c>
    </row>
    <row r="41" spans="1:24" ht="24" customHeight="1" x14ac:dyDescent="0.25">
      <c r="A41" s="248" t="s">
        <v>99</v>
      </c>
      <c r="B41" s="13">
        <v>1</v>
      </c>
      <c r="C41" s="19" t="s">
        <v>100</v>
      </c>
      <c r="D41" s="20" t="s">
        <v>32</v>
      </c>
      <c r="E41" s="22">
        <v>3000000</v>
      </c>
      <c r="F41" s="22">
        <v>23</v>
      </c>
      <c r="G41" s="22">
        <f t="shared" si="13"/>
        <v>2300000</v>
      </c>
      <c r="H41" s="22"/>
      <c r="I41" s="22">
        <v>250000</v>
      </c>
      <c r="J41" s="22">
        <f>+E41-G41</f>
        <v>700000</v>
      </c>
      <c r="K41" s="22">
        <f t="shared" si="15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3"/>
        <v>586289</v>
      </c>
      <c r="U41" s="23">
        <f>+K41-T41</f>
        <v>2663711</v>
      </c>
      <c r="V41" s="24"/>
      <c r="W41" s="14"/>
      <c r="X41" s="24">
        <f t="shared" si="4"/>
        <v>2663711</v>
      </c>
    </row>
    <row r="42" spans="1:24" ht="25.5" customHeight="1" x14ac:dyDescent="0.25">
      <c r="A42" s="248"/>
      <c r="B42" s="13">
        <v>2</v>
      </c>
      <c r="C42" s="19" t="s">
        <v>103</v>
      </c>
      <c r="D42" s="20" t="s">
        <v>32</v>
      </c>
      <c r="E42" s="22">
        <v>344727</v>
      </c>
      <c r="F42" s="22">
        <v>25</v>
      </c>
      <c r="G42" s="22">
        <f>+E42/30*F42</f>
        <v>287272.5</v>
      </c>
      <c r="H42" s="22">
        <f>+(689455/30)*5</f>
        <v>114909.16666666666</v>
      </c>
      <c r="I42" s="22"/>
      <c r="J42" s="22"/>
      <c r="K42" s="22">
        <f t="shared" si="15"/>
        <v>402181.66666666663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402181.66666666663</v>
      </c>
      <c r="V42" s="24"/>
      <c r="W42" s="14"/>
      <c r="X42" s="24">
        <f t="shared" si="4"/>
        <v>402181.66666666663</v>
      </c>
    </row>
    <row r="43" spans="1:24" x14ac:dyDescent="0.25">
      <c r="A43" s="248"/>
      <c r="B43" s="13">
        <v>3</v>
      </c>
      <c r="C43" s="30" t="s">
        <v>180</v>
      </c>
      <c r="D43" s="26" t="s">
        <v>32</v>
      </c>
      <c r="E43" s="22">
        <v>900000</v>
      </c>
      <c r="F43" s="22">
        <v>13</v>
      </c>
      <c r="G43" s="22">
        <f t="shared" ref="G43" si="18">+E43/30*F43</f>
        <v>390000</v>
      </c>
      <c r="H43" s="22">
        <f>+(77700/30)*F43</f>
        <v>33670</v>
      </c>
      <c r="I43" s="22"/>
      <c r="J43" s="22">
        <v>390691</v>
      </c>
      <c r="K43" s="22">
        <f t="shared" ref="K43" si="19">SUM(G43:I43)+J43</f>
        <v>814361</v>
      </c>
      <c r="L43" s="22">
        <f t="shared" ref="L43:L45" si="20">+G43*4%</f>
        <v>15600</v>
      </c>
      <c r="M43" s="22">
        <f>+G43*4%</f>
        <v>15600</v>
      </c>
      <c r="N43" s="22"/>
      <c r="O43" s="22"/>
      <c r="P43" s="22"/>
      <c r="Q43" s="22"/>
      <c r="R43" s="22"/>
      <c r="S43" s="22"/>
      <c r="T43" s="22">
        <f t="shared" si="3"/>
        <v>31200</v>
      </c>
      <c r="U43" s="23">
        <f>K43-T43</f>
        <v>783161</v>
      </c>
      <c r="V43" s="24"/>
      <c r="W43" s="14"/>
      <c r="X43" s="24">
        <f t="shared" si="4"/>
        <v>783161</v>
      </c>
    </row>
    <row r="44" spans="1:24" ht="18" customHeight="1" x14ac:dyDescent="0.25">
      <c r="A44" s="248"/>
      <c r="B44" s="13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3"/>
        <v>689455</v>
      </c>
      <c r="H44" s="22">
        <v>77700</v>
      </c>
      <c r="I44" s="22"/>
      <c r="J44" s="22"/>
      <c r="K44" s="22">
        <f t="shared" si="15"/>
        <v>767155</v>
      </c>
      <c r="L44" s="22">
        <f t="shared" si="20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6" si="21">SUM(L44:S44)</f>
        <v>55156.4</v>
      </c>
      <c r="U44" s="23">
        <f>+K44-T44</f>
        <v>711998.6</v>
      </c>
      <c r="V44" s="24"/>
      <c r="W44" s="14"/>
      <c r="X44" s="24">
        <f t="shared" si="4"/>
        <v>711998.6</v>
      </c>
    </row>
    <row r="45" spans="1:24" x14ac:dyDescent="0.25">
      <c r="A45" s="248"/>
      <c r="B45" s="13">
        <v>5</v>
      </c>
      <c r="C45" s="30" t="s">
        <v>181</v>
      </c>
      <c r="D45" s="26" t="s">
        <v>32</v>
      </c>
      <c r="E45" s="22">
        <v>1200000</v>
      </c>
      <c r="F45" s="22">
        <v>13</v>
      </c>
      <c r="G45" s="22">
        <f t="shared" si="13"/>
        <v>520000</v>
      </c>
      <c r="H45" s="22">
        <f>+(77700/30)*F45</f>
        <v>33670</v>
      </c>
      <c r="I45" s="22"/>
      <c r="J45" s="22">
        <v>390691</v>
      </c>
      <c r="K45" s="22">
        <f t="shared" ref="K45" si="22">SUM(G45:I45)+J45</f>
        <v>944361</v>
      </c>
      <c r="L45" s="22">
        <f t="shared" si="20"/>
        <v>20800</v>
      </c>
      <c r="M45" s="22">
        <f>+G45*4%</f>
        <v>20800</v>
      </c>
      <c r="N45" s="22"/>
      <c r="O45" s="22"/>
      <c r="P45" s="22"/>
      <c r="Q45" s="22"/>
      <c r="R45" s="22"/>
      <c r="S45" s="22"/>
      <c r="T45" s="22">
        <f t="shared" si="21"/>
        <v>41600</v>
      </c>
      <c r="U45" s="23">
        <f>K45-T45</f>
        <v>902761</v>
      </c>
      <c r="V45" s="24"/>
      <c r="W45" s="14"/>
      <c r="X45" s="24">
        <f t="shared" si="4"/>
        <v>902761</v>
      </c>
    </row>
    <row r="46" spans="1:24" x14ac:dyDescent="0.25">
      <c r="A46" s="248"/>
      <c r="B46" s="13">
        <v>6</v>
      </c>
      <c r="C46" s="19" t="s">
        <v>104</v>
      </c>
      <c r="D46" s="20" t="s">
        <v>105</v>
      </c>
      <c r="E46" s="22">
        <v>1100000</v>
      </c>
      <c r="F46" s="22">
        <v>29</v>
      </c>
      <c r="G46" s="22">
        <f>+E46/30*F46+24446</f>
        <v>1087779.3333333333</v>
      </c>
      <c r="H46" s="22">
        <v>77700</v>
      </c>
      <c r="I46" s="22"/>
      <c r="J46" s="22"/>
      <c r="K46" s="22">
        <f t="shared" si="15"/>
        <v>1165479.3333333333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>
        <v>525588</v>
      </c>
      <c r="T46" s="22">
        <f>SUM(L46:S46)</f>
        <v>613588</v>
      </c>
      <c r="U46" s="23">
        <f>+K46-T46</f>
        <v>551891.33333333326</v>
      </c>
      <c r="V46" s="24"/>
      <c r="W46" s="14"/>
      <c r="X46" s="24">
        <f t="shared" si="4"/>
        <v>551891.33333333326</v>
      </c>
    </row>
    <row r="47" spans="1:24" ht="21.75" customHeight="1" x14ac:dyDescent="0.25">
      <c r="A47" s="248"/>
      <c r="B47" s="13">
        <v>7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5"/>
        <v>1177700</v>
      </c>
      <c r="L47" s="22">
        <f t="shared" ref="L47:L53" si="23">+G47*4%</f>
        <v>44000</v>
      </c>
      <c r="M47" s="22">
        <f t="shared" ref="M47:M53" si="24">+G47*4%</f>
        <v>44000</v>
      </c>
      <c r="N47" s="22"/>
      <c r="O47" s="22"/>
      <c r="P47" s="22">
        <v>0</v>
      </c>
      <c r="Q47" s="22"/>
      <c r="R47" s="22"/>
      <c r="S47" s="22"/>
      <c r="T47" s="22">
        <f t="shared" si="21"/>
        <v>88000</v>
      </c>
      <c r="U47" s="23">
        <f t="shared" ref="U47:U53" si="25">+K47-T47</f>
        <v>1089700</v>
      </c>
      <c r="V47" s="24"/>
      <c r="W47" s="14"/>
      <c r="X47" s="24">
        <f t="shared" si="4"/>
        <v>1089700</v>
      </c>
    </row>
    <row r="48" spans="1:24" x14ac:dyDescent="0.25">
      <c r="A48" s="248"/>
      <c r="B48" s="13">
        <v>8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:G49" si="26">+E48/30*F48</f>
        <v>689454</v>
      </c>
      <c r="H48" s="22">
        <v>77700</v>
      </c>
      <c r="I48" s="22"/>
      <c r="J48" s="22"/>
      <c r="K48" s="22">
        <f t="shared" ref="K48:K49" si="27">SUM(G48:I48)+J48</f>
        <v>767154</v>
      </c>
      <c r="L48" s="22">
        <f t="shared" si="23"/>
        <v>27578.16</v>
      </c>
      <c r="M48" s="22">
        <f t="shared" si="24"/>
        <v>27578.16</v>
      </c>
      <c r="N48" s="22"/>
      <c r="O48" s="22"/>
      <c r="P48" s="25"/>
      <c r="Q48" s="22"/>
      <c r="R48" s="22"/>
      <c r="S48" s="22"/>
      <c r="T48" s="22">
        <f t="shared" si="21"/>
        <v>55156.32</v>
      </c>
      <c r="U48" s="23">
        <f t="shared" si="25"/>
        <v>711997.68</v>
      </c>
      <c r="V48" s="24"/>
      <c r="W48" s="14"/>
      <c r="X48" s="24">
        <f t="shared" si="4"/>
        <v>711997.68</v>
      </c>
    </row>
    <row r="49" spans="1:27" x14ac:dyDescent="0.25">
      <c r="A49" s="248"/>
      <c r="B49" s="13">
        <v>9</v>
      </c>
      <c r="C49" s="19" t="s">
        <v>194</v>
      </c>
      <c r="D49" s="20" t="s">
        <v>32</v>
      </c>
      <c r="E49" s="22">
        <v>689454</v>
      </c>
      <c r="F49" s="22">
        <v>30</v>
      </c>
      <c r="G49" s="22">
        <f t="shared" si="26"/>
        <v>689454</v>
      </c>
      <c r="H49" s="22">
        <v>77700</v>
      </c>
      <c r="I49" s="22"/>
      <c r="J49" s="22"/>
      <c r="K49" s="22">
        <f t="shared" si="27"/>
        <v>767154</v>
      </c>
      <c r="L49" s="22">
        <f t="shared" si="23"/>
        <v>27578.16</v>
      </c>
      <c r="M49" s="22">
        <f t="shared" si="24"/>
        <v>27578.16</v>
      </c>
      <c r="N49" s="22"/>
      <c r="O49" s="22"/>
      <c r="P49" s="25"/>
      <c r="Q49" s="22"/>
      <c r="R49" s="22"/>
      <c r="S49" s="22"/>
      <c r="T49" s="22">
        <f t="shared" ref="T49" si="28">SUM(L49:S49)</f>
        <v>55156.32</v>
      </c>
      <c r="U49" s="23">
        <f t="shared" si="25"/>
        <v>711997.68</v>
      </c>
      <c r="V49" s="24"/>
      <c r="W49" s="14"/>
      <c r="X49" s="24">
        <f t="shared" si="4"/>
        <v>711997.68</v>
      </c>
    </row>
    <row r="50" spans="1:27" ht="17.25" customHeight="1" x14ac:dyDescent="0.25">
      <c r="A50" s="248"/>
      <c r="B50" s="13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9">SUM(G50:I50)+J50</f>
        <v>3500000</v>
      </c>
      <c r="L50" s="22">
        <f t="shared" si="23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0">SUM(L50:S50)</f>
        <v>315000</v>
      </c>
      <c r="U50" s="23">
        <f t="shared" si="25"/>
        <v>3185000</v>
      </c>
      <c r="V50" s="24"/>
      <c r="W50" s="14"/>
      <c r="X50" s="24">
        <f t="shared" si="4"/>
        <v>3185000</v>
      </c>
    </row>
    <row r="51" spans="1:27" ht="17.25" customHeight="1" x14ac:dyDescent="0.25">
      <c r="A51" s="248"/>
      <c r="B51" s="13">
        <v>11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5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>
        <f t="shared" si="21"/>
        <v>96000</v>
      </c>
      <c r="U51" s="23">
        <f t="shared" si="25"/>
        <v>1181700</v>
      </c>
      <c r="V51" s="24"/>
      <c r="W51" s="14"/>
      <c r="X51" s="24">
        <f t="shared" si="4"/>
        <v>1181700</v>
      </c>
    </row>
    <row r="52" spans="1:27" ht="17.25" customHeight="1" x14ac:dyDescent="0.25">
      <c r="A52" s="248"/>
      <c r="B52" s="13">
        <v>12</v>
      </c>
      <c r="C52" s="19" t="s">
        <v>201</v>
      </c>
      <c r="D52" s="20" t="s">
        <v>32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31">SUM(G52:I52)+J52</f>
        <v>1077700</v>
      </c>
      <c r="L52" s="22">
        <f t="shared" ref="L52" si="32">+G52*4%</f>
        <v>40000.000000000007</v>
      </c>
      <c r="M52" s="22">
        <f t="shared" ref="M52" si="33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1"/>
        <v>80000.000000000015</v>
      </c>
      <c r="U52" s="23">
        <f t="shared" si="25"/>
        <v>997700</v>
      </c>
      <c r="V52" s="24"/>
      <c r="W52" s="14"/>
      <c r="X52" s="24">
        <f t="shared" si="4"/>
        <v>997700</v>
      </c>
    </row>
    <row r="53" spans="1:27" ht="24" x14ac:dyDescent="0.25">
      <c r="A53" s="248"/>
      <c r="B53" s="13">
        <v>13</v>
      </c>
      <c r="C53" s="19" t="s">
        <v>109</v>
      </c>
      <c r="D53" s="20" t="s">
        <v>32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5"/>
        <v>1277700</v>
      </c>
      <c r="L53" s="22">
        <f t="shared" si="23"/>
        <v>48000</v>
      </c>
      <c r="M53" s="22">
        <f t="shared" si="24"/>
        <v>48000</v>
      </c>
      <c r="N53" s="22"/>
      <c r="O53" s="22"/>
      <c r="P53" s="22">
        <v>0</v>
      </c>
      <c r="Q53" s="22"/>
      <c r="R53" s="22"/>
      <c r="S53" s="22"/>
      <c r="T53" s="22">
        <f t="shared" si="21"/>
        <v>96000</v>
      </c>
      <c r="U53" s="23">
        <f t="shared" si="25"/>
        <v>1181700</v>
      </c>
      <c r="V53" s="24"/>
      <c r="W53" s="14"/>
      <c r="X53" s="24">
        <f t="shared" si="4"/>
        <v>1181700</v>
      </c>
    </row>
    <row r="54" spans="1:27" x14ac:dyDescent="0.25">
      <c r="A54" s="248"/>
      <c r="B54" s="13">
        <v>14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>
        <v>234472</v>
      </c>
      <c r="J54" s="22"/>
      <c r="K54" s="22">
        <f t="shared" si="15"/>
        <v>2734472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1"/>
        <v>200000</v>
      </c>
      <c r="U54" s="23">
        <f t="shared" ref="U54:U63" si="34">K54-T54</f>
        <v>2534472</v>
      </c>
      <c r="V54" s="24"/>
      <c r="W54" s="14"/>
      <c r="X54" s="24">
        <f t="shared" si="4"/>
        <v>2534472</v>
      </c>
    </row>
    <row r="55" spans="1:27" x14ac:dyDescent="0.25">
      <c r="A55" s="248"/>
      <c r="B55" s="13">
        <v>15</v>
      </c>
      <c r="C55" s="19" t="s">
        <v>113</v>
      </c>
      <c r="D55" s="20" t="s">
        <v>32</v>
      </c>
      <c r="E55" s="22">
        <v>2500000</v>
      </c>
      <c r="F55" s="22">
        <v>10</v>
      </c>
      <c r="G55" s="22">
        <f>+E55/30*F55</f>
        <v>833333.33333333326</v>
      </c>
      <c r="H55" s="22"/>
      <c r="I55" s="22">
        <v>500000</v>
      </c>
      <c r="J55" s="22">
        <f>+E55-G55</f>
        <v>1666666.6666666667</v>
      </c>
      <c r="K55" s="22">
        <f t="shared" si="15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1"/>
        <v>966228</v>
      </c>
      <c r="U55" s="23">
        <f t="shared" si="34"/>
        <v>2033772</v>
      </c>
      <c r="V55" s="24"/>
      <c r="W55" s="14"/>
      <c r="X55" s="24">
        <f t="shared" si="4"/>
        <v>2033772</v>
      </c>
    </row>
    <row r="56" spans="1:27" x14ac:dyDescent="0.25">
      <c r="A56" s="248"/>
      <c r="B56" s="13">
        <v>16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35">+E56/30*F56</f>
        <v>344727</v>
      </c>
      <c r="H56" s="22"/>
      <c r="I56" s="22"/>
      <c r="J56" s="22"/>
      <c r="K56" s="22">
        <f t="shared" si="15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1"/>
        <v>0</v>
      </c>
      <c r="U56" s="23">
        <f t="shared" si="34"/>
        <v>344727</v>
      </c>
      <c r="V56" s="24"/>
      <c r="W56" s="14"/>
      <c r="X56" s="24">
        <f t="shared" si="4"/>
        <v>344727</v>
      </c>
    </row>
    <row r="57" spans="1:27" ht="17.25" customHeight="1" x14ac:dyDescent="0.25">
      <c r="A57" s="248"/>
      <c r="B57" s="13">
        <v>17</v>
      </c>
      <c r="C57" s="19" t="s">
        <v>116</v>
      </c>
      <c r="D57" s="20" t="s">
        <v>32</v>
      </c>
      <c r="E57" s="22">
        <v>3000000</v>
      </c>
      <c r="F57" s="22">
        <v>26</v>
      </c>
      <c r="G57" s="22">
        <f>E57/30*F57</f>
        <v>2600000</v>
      </c>
      <c r="H57" s="22"/>
      <c r="I57" s="22"/>
      <c r="J57" s="22">
        <f>+E57-G57</f>
        <v>400000</v>
      </c>
      <c r="K57" s="22">
        <f t="shared" si="15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1"/>
        <v>592019</v>
      </c>
      <c r="U57" s="23">
        <f t="shared" si="34"/>
        <v>2407981</v>
      </c>
      <c r="V57" s="24"/>
      <c r="W57" s="14"/>
      <c r="X57" s="24">
        <f t="shared" si="4"/>
        <v>2407981</v>
      </c>
    </row>
    <row r="58" spans="1:27" ht="17.25" customHeight="1" x14ac:dyDescent="0.25">
      <c r="A58" s="248"/>
      <c r="B58" s="13">
        <v>18</v>
      </c>
      <c r="C58" s="19" t="s">
        <v>204</v>
      </c>
      <c r="D58" s="20" t="s">
        <v>32</v>
      </c>
      <c r="E58" s="22">
        <v>689455</v>
      </c>
      <c r="F58" s="22">
        <v>13</v>
      </c>
      <c r="G58" s="22">
        <f>E58/30*F58</f>
        <v>298763.83333333331</v>
      </c>
      <c r="H58" s="22">
        <f>+(77700/30)*F58</f>
        <v>33670</v>
      </c>
      <c r="I58" s="22"/>
      <c r="J58" s="22"/>
      <c r="K58" s="22">
        <f t="shared" ref="K58" si="36">SUM(G58:I58)+J58</f>
        <v>332433.83333333331</v>
      </c>
      <c r="L58" s="22">
        <f>+G58*4%</f>
        <v>11950.553333333333</v>
      </c>
      <c r="M58" s="22">
        <f>+G58*4%</f>
        <v>11950.553333333333</v>
      </c>
      <c r="N58" s="22"/>
      <c r="O58" s="22"/>
      <c r="P58" s="22"/>
      <c r="Q58" s="22"/>
      <c r="R58" s="22"/>
      <c r="S58" s="22"/>
      <c r="T58" s="22">
        <f t="shared" si="21"/>
        <v>23901.106666666667</v>
      </c>
      <c r="U58" s="23">
        <f t="shared" si="34"/>
        <v>308532.72666666663</v>
      </c>
      <c r="V58" s="24"/>
      <c r="W58" s="14"/>
      <c r="X58" s="24">
        <f t="shared" si="4"/>
        <v>308532.72666666663</v>
      </c>
    </row>
    <row r="59" spans="1:27" ht="15.75" customHeight="1" x14ac:dyDescent="0.25">
      <c r="A59" s="248"/>
      <c r="B59" s="13">
        <v>19</v>
      </c>
      <c r="C59" s="19" t="s">
        <v>118</v>
      </c>
      <c r="D59" s="20" t="s">
        <v>32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5"/>
        <v>2000000.0000000002</v>
      </c>
      <c r="L59" s="22">
        <f>+G59*4%</f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1"/>
        <v>414624</v>
      </c>
      <c r="U59" s="23">
        <f t="shared" si="34"/>
        <v>1585376.0000000002</v>
      </c>
      <c r="V59" s="24"/>
      <c r="W59" s="14"/>
      <c r="X59" s="24">
        <f t="shared" si="4"/>
        <v>1585376.0000000002</v>
      </c>
      <c r="AA59" s="16">
        <f>1196000+644000</f>
        <v>1840000</v>
      </c>
    </row>
    <row r="60" spans="1:27" x14ac:dyDescent="0.25">
      <c r="A60" s="248"/>
      <c r="B60" s="13">
        <v>20</v>
      </c>
      <c r="C60" s="30" t="s">
        <v>183</v>
      </c>
      <c r="D60" s="26" t="s">
        <v>32</v>
      </c>
      <c r="E60" s="22">
        <v>689455</v>
      </c>
      <c r="F60" s="22">
        <v>30</v>
      </c>
      <c r="G60" s="22">
        <f t="shared" ref="G60:G61" si="37">+E60/30*F60</f>
        <v>689455</v>
      </c>
      <c r="H60" s="22"/>
      <c r="I60" s="22"/>
      <c r="J60" s="22"/>
      <c r="K60" s="22">
        <f t="shared" si="15"/>
        <v>689455</v>
      </c>
      <c r="L60" s="22">
        <f>+G60*4%</f>
        <v>27578.2</v>
      </c>
      <c r="M60" s="22">
        <f>+G60*4%</f>
        <v>27578.2</v>
      </c>
      <c r="N60" s="22"/>
      <c r="O60" s="22"/>
      <c r="P60" s="22"/>
      <c r="Q60" s="22"/>
      <c r="R60" s="22"/>
      <c r="S60" s="22"/>
      <c r="T60" s="22">
        <f t="shared" si="21"/>
        <v>55156.4</v>
      </c>
      <c r="U60" s="23">
        <f t="shared" si="34"/>
        <v>634298.6</v>
      </c>
      <c r="V60" s="24"/>
      <c r="W60" s="14"/>
      <c r="X60" s="24">
        <f t="shared" si="4"/>
        <v>634298.6</v>
      </c>
    </row>
    <row r="61" spans="1:27" x14ac:dyDescent="0.25">
      <c r="A61" s="248"/>
      <c r="B61" s="13">
        <v>21</v>
      </c>
      <c r="C61" s="30" t="s">
        <v>188</v>
      </c>
      <c r="D61" s="26" t="s">
        <v>32</v>
      </c>
      <c r="E61" s="22">
        <v>1500000</v>
      </c>
      <c r="F61" s="22">
        <v>30</v>
      </c>
      <c r="G61" s="22">
        <f t="shared" si="37"/>
        <v>1500000</v>
      </c>
      <c r="H61" s="22"/>
      <c r="I61" s="22"/>
      <c r="J61" s="22"/>
      <c r="K61" s="22">
        <f t="shared" ref="K61" si="38">SUM(G61:I61)+J61</f>
        <v>1500000</v>
      </c>
      <c r="L61" s="22">
        <f>+G61*4%</f>
        <v>60000</v>
      </c>
      <c r="M61" s="22">
        <f>+G61*4%</f>
        <v>60000</v>
      </c>
      <c r="N61" s="22"/>
      <c r="O61" s="22"/>
      <c r="P61" s="22"/>
      <c r="Q61" s="22"/>
      <c r="R61" s="22"/>
      <c r="S61" s="22"/>
      <c r="T61" s="22">
        <f t="shared" ref="T61" si="39">SUM(L61:S61)</f>
        <v>120000</v>
      </c>
      <c r="U61" s="23">
        <f t="shared" si="34"/>
        <v>1380000</v>
      </c>
      <c r="V61" s="24"/>
      <c r="W61" s="14"/>
      <c r="X61" s="24">
        <f t="shared" si="4"/>
        <v>1380000</v>
      </c>
    </row>
    <row r="62" spans="1:27" x14ac:dyDescent="0.25">
      <c r="A62" s="248"/>
      <c r="B62" s="13">
        <v>22</v>
      </c>
      <c r="C62" s="19" t="s">
        <v>196</v>
      </c>
      <c r="D62" s="20" t="s">
        <v>105</v>
      </c>
      <c r="E62" s="22">
        <v>689455</v>
      </c>
      <c r="F62" s="22">
        <v>30</v>
      </c>
      <c r="G62" s="22">
        <f>+E62/30*F62</f>
        <v>689455</v>
      </c>
      <c r="H62" s="22">
        <v>77700</v>
      </c>
      <c r="I62" s="22"/>
      <c r="J62" s="22"/>
      <c r="K62" s="22">
        <f t="shared" ref="K62" si="40">SUM(G62:I62)+J62</f>
        <v>767155</v>
      </c>
      <c r="L62" s="22">
        <f>+G62*4%</f>
        <v>27578.2</v>
      </c>
      <c r="M62" s="22">
        <f t="shared" ref="M62" si="41">+G62*4%</f>
        <v>27578.2</v>
      </c>
      <c r="N62" s="22"/>
      <c r="O62" s="22"/>
      <c r="P62" s="25"/>
      <c r="Q62" s="22"/>
      <c r="R62" s="22"/>
      <c r="S62" s="22"/>
      <c r="T62" s="22">
        <f t="shared" ref="T62" si="42">SUM(L62:S62)</f>
        <v>55156.4</v>
      </c>
      <c r="U62" s="23">
        <f>+K62-T62</f>
        <v>711998.6</v>
      </c>
      <c r="V62" s="24"/>
      <c r="W62" s="14"/>
      <c r="X62" s="24">
        <f t="shared" si="4"/>
        <v>711998.6</v>
      </c>
    </row>
    <row r="63" spans="1:27" x14ac:dyDescent="0.25">
      <c r="A63" s="248"/>
      <c r="B63" s="13">
        <v>23</v>
      </c>
      <c r="C63" s="30" t="s">
        <v>120</v>
      </c>
      <c r="D63" s="26" t="s">
        <v>32</v>
      </c>
      <c r="E63" s="22">
        <v>344727</v>
      </c>
      <c r="F63" s="22">
        <v>30</v>
      </c>
      <c r="G63" s="22">
        <f>+E63/30*F63</f>
        <v>344727</v>
      </c>
      <c r="H63" s="22"/>
      <c r="I63" s="22"/>
      <c r="J63" s="22"/>
      <c r="K63" s="22">
        <f t="shared" si="15"/>
        <v>344727</v>
      </c>
      <c r="L63" s="22"/>
      <c r="M63" s="22"/>
      <c r="N63" s="22"/>
      <c r="O63" s="22"/>
      <c r="P63" s="22"/>
      <c r="Q63" s="22"/>
      <c r="R63" s="22"/>
      <c r="S63" s="22"/>
      <c r="T63" s="22">
        <f t="shared" si="21"/>
        <v>0</v>
      </c>
      <c r="U63" s="23">
        <f t="shared" si="34"/>
        <v>344727</v>
      </c>
      <c r="V63" s="24"/>
      <c r="W63" s="14"/>
      <c r="X63" s="24">
        <f t="shared" si="4"/>
        <v>344727</v>
      </c>
      <c r="AA63" s="16">
        <f>1840000-1196000</f>
        <v>644000</v>
      </c>
    </row>
    <row r="64" spans="1:27" ht="24" x14ac:dyDescent="0.25">
      <c r="A64" s="248"/>
      <c r="B64" s="13">
        <v>24</v>
      </c>
      <c r="C64" s="19" t="s">
        <v>121</v>
      </c>
      <c r="D64" s="20" t="s">
        <v>105</v>
      </c>
      <c r="E64" s="22">
        <v>1500000</v>
      </c>
      <c r="F64" s="22">
        <v>30</v>
      </c>
      <c r="G64" s="22">
        <f t="shared" ref="G64" si="43">+E64/30*F64</f>
        <v>1500000</v>
      </c>
      <c r="H64" s="22"/>
      <c r="I64" s="22"/>
      <c r="J64" s="22"/>
      <c r="K64" s="22">
        <f t="shared" si="15"/>
        <v>1500000</v>
      </c>
      <c r="L64" s="22">
        <f>+G64*4%</f>
        <v>60000</v>
      </c>
      <c r="M64" s="22">
        <f t="shared" ref="M64:M94" si="44">+G64*4%</f>
        <v>60000</v>
      </c>
      <c r="N64" s="22"/>
      <c r="O64" s="22"/>
      <c r="P64" s="25"/>
      <c r="Q64" s="22"/>
      <c r="R64" s="22"/>
      <c r="S64" s="22"/>
      <c r="T64" s="22">
        <f t="shared" si="21"/>
        <v>120000</v>
      </c>
      <c r="U64" s="23">
        <f>+K64-T64</f>
        <v>1380000</v>
      </c>
      <c r="V64" s="24"/>
      <c r="W64" s="14"/>
      <c r="X64" s="24">
        <f t="shared" si="4"/>
        <v>1380000</v>
      </c>
    </row>
    <row r="65" spans="1:25" x14ac:dyDescent="0.25">
      <c r="A65" s="248"/>
      <c r="B65" s="13">
        <v>25</v>
      </c>
      <c r="C65" s="30" t="s">
        <v>122</v>
      </c>
      <c r="D65" s="26" t="s">
        <v>32</v>
      </c>
      <c r="E65" s="22">
        <v>1500000</v>
      </c>
      <c r="F65" s="22">
        <v>30</v>
      </c>
      <c r="G65" s="22">
        <f>+E65/30*F65</f>
        <v>1500000</v>
      </c>
      <c r="H65" s="22"/>
      <c r="I65" s="22">
        <v>500000</v>
      </c>
      <c r="J65" s="22"/>
      <c r="K65" s="22">
        <f t="shared" si="15"/>
        <v>2000000</v>
      </c>
      <c r="L65" s="22">
        <v>60000</v>
      </c>
      <c r="M65" s="22">
        <v>60000</v>
      </c>
      <c r="N65" s="22"/>
      <c r="O65" s="22"/>
      <c r="P65" s="22">
        <v>0</v>
      </c>
      <c r="Q65" s="22"/>
      <c r="R65" s="22"/>
      <c r="S65" s="22"/>
      <c r="T65" s="22">
        <f t="shared" si="21"/>
        <v>120000</v>
      </c>
      <c r="U65" s="23">
        <f>K65-T65</f>
        <v>1880000</v>
      </c>
      <c r="V65" s="24"/>
      <c r="W65" s="14"/>
      <c r="X65" s="24">
        <f>U65+V65-W65</f>
        <v>1880000</v>
      </c>
    </row>
    <row r="66" spans="1:25" x14ac:dyDescent="0.25">
      <c r="A66" s="248"/>
      <c r="B66" s="13">
        <v>26</v>
      </c>
      <c r="C66" s="30" t="s">
        <v>205</v>
      </c>
      <c r="D66" s="26" t="s">
        <v>32</v>
      </c>
      <c r="E66" s="22">
        <v>689455</v>
      </c>
      <c r="F66" s="22">
        <v>13</v>
      </c>
      <c r="G66" s="22">
        <f>+E66/30*F66</f>
        <v>298763.83333333331</v>
      </c>
      <c r="H66" s="22"/>
      <c r="I66" s="22"/>
      <c r="J66" s="22"/>
      <c r="K66" s="22">
        <f t="shared" si="15"/>
        <v>298763.83333333331</v>
      </c>
      <c r="L66" s="22">
        <f>+G66*4%</f>
        <v>11950.553333333333</v>
      </c>
      <c r="M66" s="22">
        <f>+G66*4%</f>
        <v>11950.553333333333</v>
      </c>
      <c r="N66" s="22"/>
      <c r="O66" s="22"/>
      <c r="P66" s="22">
        <v>0</v>
      </c>
      <c r="Q66" s="22"/>
      <c r="R66" s="22"/>
      <c r="S66" s="22"/>
      <c r="T66" s="22">
        <f t="shared" ref="T66" si="45">SUM(L66:S66)</f>
        <v>23901.106666666667</v>
      </c>
      <c r="U66" s="23">
        <f>K66-T66</f>
        <v>274862.72666666663</v>
      </c>
      <c r="V66" s="24"/>
      <c r="W66" s="14"/>
      <c r="X66" s="24">
        <f>U66+V66-W66</f>
        <v>274862.72666666663</v>
      </c>
    </row>
    <row r="67" spans="1:25" ht="20.25" customHeight="1" x14ac:dyDescent="0.25">
      <c r="A67" s="248"/>
      <c r="B67" s="13">
        <v>27</v>
      </c>
      <c r="C67" s="19" t="s">
        <v>126</v>
      </c>
      <c r="D67" s="20" t="s">
        <v>32</v>
      </c>
      <c r="E67" s="22">
        <v>3000000</v>
      </c>
      <c r="F67" s="22">
        <v>30</v>
      </c>
      <c r="G67" s="22">
        <f t="shared" ref="G67" si="46">+E67/30*F67</f>
        <v>3000000</v>
      </c>
      <c r="H67" s="22"/>
      <c r="I67" s="22"/>
      <c r="J67" s="22"/>
      <c r="K67" s="22">
        <f t="shared" si="15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802634</v>
      </c>
      <c r="T67" s="22">
        <f t="shared" si="21"/>
        <v>1072634</v>
      </c>
      <c r="U67" s="23">
        <f t="shared" ref="U67:U75" si="47">+K67-T67</f>
        <v>1927366</v>
      </c>
      <c r="V67" s="24"/>
      <c r="W67" s="14"/>
      <c r="X67" s="24">
        <f t="shared" ref="X67:X96" si="48">U67+V67-W67</f>
        <v>1927366</v>
      </c>
    </row>
    <row r="68" spans="1:25" ht="18" customHeight="1" x14ac:dyDescent="0.25">
      <c r="A68" s="248"/>
      <c r="B68" s="13">
        <v>28</v>
      </c>
      <c r="C68" s="19" t="s">
        <v>124</v>
      </c>
      <c r="D68" s="20" t="s">
        <v>32</v>
      </c>
      <c r="E68" s="22">
        <v>1500000</v>
      </c>
      <c r="F68" s="22">
        <v>30</v>
      </c>
      <c r="G68" s="22">
        <f>+E68/30*F68</f>
        <v>1500000</v>
      </c>
      <c r="H68" s="22"/>
      <c r="I68" s="22">
        <v>100000</v>
      </c>
      <c r="J68" s="22"/>
      <c r="K68" s="22">
        <f t="shared" si="15"/>
        <v>1600000</v>
      </c>
      <c r="L68" s="22">
        <v>60000</v>
      </c>
      <c r="M68" s="22">
        <v>60000</v>
      </c>
      <c r="N68" s="22"/>
      <c r="O68" s="22"/>
      <c r="P68" s="22">
        <v>0</v>
      </c>
      <c r="Q68" s="22"/>
      <c r="R68" s="22"/>
      <c r="S68" s="22"/>
      <c r="T68" s="22">
        <f t="shared" si="21"/>
        <v>120000</v>
      </c>
      <c r="U68" s="23">
        <f t="shared" si="47"/>
        <v>1480000</v>
      </c>
      <c r="V68" s="24"/>
      <c r="W68" s="14"/>
      <c r="X68" s="24">
        <f t="shared" si="48"/>
        <v>1480000</v>
      </c>
    </row>
    <row r="69" spans="1:25" x14ac:dyDescent="0.25">
      <c r="A69" s="248"/>
      <c r="B69" s="13">
        <v>29</v>
      </c>
      <c r="C69" s="19" t="s">
        <v>128</v>
      </c>
      <c r="D69" s="20" t="s">
        <v>32</v>
      </c>
      <c r="E69" s="22">
        <v>3250000</v>
      </c>
      <c r="F69" s="22">
        <v>30</v>
      </c>
      <c r="G69" s="22">
        <f t="shared" ref="G69:G78" si="49">+E69/30*F69</f>
        <v>3250000</v>
      </c>
      <c r="H69" s="22"/>
      <c r="I69" s="22"/>
      <c r="J69" s="22"/>
      <c r="K69" s="22">
        <f t="shared" si="15"/>
        <v>3250000</v>
      </c>
      <c r="L69" s="22">
        <f t="shared" ref="L69:L95" si="50">+G69*4%</f>
        <v>130000</v>
      </c>
      <c r="M69" s="22">
        <f>+G69*5%</f>
        <v>162500</v>
      </c>
      <c r="N69" s="22"/>
      <c r="O69" s="22"/>
      <c r="P69" s="22">
        <v>0</v>
      </c>
      <c r="Q69" s="22"/>
      <c r="R69" s="22"/>
      <c r="S69" s="22"/>
      <c r="T69" s="22">
        <f t="shared" si="21"/>
        <v>292500</v>
      </c>
      <c r="U69" s="23">
        <f t="shared" si="47"/>
        <v>2957500</v>
      </c>
      <c r="V69" s="24"/>
      <c r="W69" s="14"/>
      <c r="X69" s="24">
        <f t="shared" si="48"/>
        <v>2957500</v>
      </c>
      <c r="Y69" s="16" t="s">
        <v>130</v>
      </c>
    </row>
    <row r="70" spans="1:25" x14ac:dyDescent="0.25">
      <c r="A70" s="248"/>
      <c r="B70" s="13">
        <v>30</v>
      </c>
      <c r="C70" s="19" t="s">
        <v>131</v>
      </c>
      <c r="D70" s="20" t="s">
        <v>32</v>
      </c>
      <c r="E70" s="22">
        <v>2500000</v>
      </c>
      <c r="F70" s="22">
        <v>30</v>
      </c>
      <c r="G70" s="22">
        <f t="shared" si="49"/>
        <v>2500000</v>
      </c>
      <c r="H70" s="22"/>
      <c r="I70" s="22">
        <v>312496</v>
      </c>
      <c r="J70" s="22"/>
      <c r="K70" s="22">
        <f t="shared" si="15"/>
        <v>2812496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1"/>
        <v>786000</v>
      </c>
      <c r="U70" s="23">
        <f t="shared" si="47"/>
        <v>2026496</v>
      </c>
      <c r="V70" s="24"/>
      <c r="W70" s="14"/>
      <c r="X70" s="24">
        <f t="shared" si="48"/>
        <v>2026496</v>
      </c>
    </row>
    <row r="71" spans="1:25" x14ac:dyDescent="0.25">
      <c r="A71" s="248"/>
      <c r="B71" s="13">
        <v>31</v>
      </c>
      <c r="C71" s="19" t="s">
        <v>206</v>
      </c>
      <c r="D71" s="20" t="s">
        <v>32</v>
      </c>
      <c r="E71" s="22">
        <v>900000</v>
      </c>
      <c r="F71" s="22">
        <v>13</v>
      </c>
      <c r="G71" s="22">
        <f t="shared" si="49"/>
        <v>390000</v>
      </c>
      <c r="H71" s="22"/>
      <c r="I71" s="22"/>
      <c r="J71" s="22"/>
      <c r="K71" s="22">
        <f t="shared" ref="K71" si="51">SUM(G71:I71)+J71</f>
        <v>390000</v>
      </c>
      <c r="L71" s="22">
        <f>+G71*4%</f>
        <v>15600</v>
      </c>
      <c r="M71" s="22">
        <f>+G71*4%</f>
        <v>15600</v>
      </c>
      <c r="N71" s="22"/>
      <c r="O71" s="22"/>
      <c r="P71" s="25">
        <v>0</v>
      </c>
      <c r="Q71" s="22"/>
      <c r="R71" s="22"/>
      <c r="S71" s="22"/>
      <c r="T71" s="22">
        <f t="shared" ref="T71" si="52">SUM(L71:S71)</f>
        <v>31200</v>
      </c>
      <c r="U71" s="23">
        <f t="shared" si="47"/>
        <v>358800</v>
      </c>
      <c r="V71" s="24"/>
      <c r="W71" s="14"/>
      <c r="X71" s="24">
        <f t="shared" si="48"/>
        <v>358800</v>
      </c>
    </row>
    <row r="72" spans="1:25" x14ac:dyDescent="0.25">
      <c r="A72" s="248"/>
      <c r="B72" s="13">
        <v>32</v>
      </c>
      <c r="C72" s="19" t="s">
        <v>133</v>
      </c>
      <c r="D72" s="20" t="s">
        <v>32</v>
      </c>
      <c r="E72" s="22">
        <v>1800000</v>
      </c>
      <c r="F72" s="22">
        <v>30</v>
      </c>
      <c r="G72" s="22">
        <f t="shared" si="49"/>
        <v>1800000</v>
      </c>
      <c r="H72" s="22"/>
      <c r="I72" s="22"/>
      <c r="J72" s="22"/>
      <c r="K72" s="22">
        <f t="shared" si="15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/>
      <c r="T72" s="22">
        <f t="shared" si="21"/>
        <v>144000</v>
      </c>
      <c r="U72" s="23">
        <f t="shared" si="47"/>
        <v>1656000</v>
      </c>
      <c r="V72" s="24"/>
      <c r="W72" s="14"/>
      <c r="X72" s="24">
        <f t="shared" si="48"/>
        <v>1656000</v>
      </c>
    </row>
    <row r="73" spans="1:25" x14ac:dyDescent="0.25">
      <c r="A73" s="248"/>
      <c r="B73" s="13">
        <v>33</v>
      </c>
      <c r="C73" s="19" t="s">
        <v>135</v>
      </c>
      <c r="D73" s="20" t="s">
        <v>32</v>
      </c>
      <c r="E73" s="22">
        <v>1800000</v>
      </c>
      <c r="F73" s="22">
        <v>30</v>
      </c>
      <c r="G73" s="22">
        <f>+E73/30*F73</f>
        <v>1800000</v>
      </c>
      <c r="H73" s="22"/>
      <c r="I73" s="22"/>
      <c r="J73" s="22"/>
      <c r="K73" s="22">
        <f t="shared" si="15"/>
        <v>1800000</v>
      </c>
      <c r="L73" s="22">
        <v>72000</v>
      </c>
      <c r="M73" s="22">
        <v>72000</v>
      </c>
      <c r="N73" s="22"/>
      <c r="O73" s="22"/>
      <c r="P73" s="22">
        <v>0</v>
      </c>
      <c r="Q73" s="22"/>
      <c r="R73" s="22"/>
      <c r="S73" s="22">
        <v>257196</v>
      </c>
      <c r="T73" s="22">
        <f t="shared" si="21"/>
        <v>401196</v>
      </c>
      <c r="U73" s="23">
        <f t="shared" si="47"/>
        <v>1398804</v>
      </c>
      <c r="V73" s="24"/>
      <c r="W73" s="14"/>
      <c r="X73" s="24">
        <f t="shared" si="48"/>
        <v>1398804</v>
      </c>
    </row>
    <row r="74" spans="1:25" x14ac:dyDescent="0.25">
      <c r="A74" s="248"/>
      <c r="B74" s="13">
        <v>34</v>
      </c>
      <c r="C74" s="19" t="s">
        <v>189</v>
      </c>
      <c r="D74" s="20" t="s">
        <v>32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>
        <v>30000</v>
      </c>
      <c r="K74" s="22">
        <f t="shared" si="15"/>
        <v>4530000</v>
      </c>
      <c r="L74" s="22">
        <f t="shared" ref="L74" si="53">+G74*4%</f>
        <v>180000</v>
      </c>
      <c r="M74" s="22">
        <f>+G74*5%</f>
        <v>225000</v>
      </c>
      <c r="N74" s="22"/>
      <c r="O74" s="22"/>
      <c r="P74" s="22">
        <v>72000</v>
      </c>
      <c r="Q74" s="22"/>
      <c r="R74" s="22"/>
      <c r="S74" s="22"/>
      <c r="T74" s="22">
        <f t="shared" ref="T74" si="54">SUM(L74:S74)</f>
        <v>477000</v>
      </c>
      <c r="U74" s="23">
        <f t="shared" si="47"/>
        <v>4053000</v>
      </c>
      <c r="V74" s="24"/>
      <c r="W74" s="14"/>
      <c r="X74" s="24">
        <f t="shared" si="48"/>
        <v>4053000</v>
      </c>
    </row>
    <row r="75" spans="1:25" x14ac:dyDescent="0.25">
      <c r="A75" s="248"/>
      <c r="B75" s="13">
        <v>35</v>
      </c>
      <c r="C75" s="19" t="s">
        <v>137</v>
      </c>
      <c r="D75" s="20" t="s">
        <v>32</v>
      </c>
      <c r="E75" s="22">
        <v>1000000</v>
      </c>
      <c r="F75" s="22">
        <v>29</v>
      </c>
      <c r="G75" s="22">
        <f>+E75/30*F75+22223</f>
        <v>988889.66666666674</v>
      </c>
      <c r="H75" s="22">
        <v>77700</v>
      </c>
      <c r="I75" s="22"/>
      <c r="J75" s="22"/>
      <c r="K75" s="22">
        <f t="shared" si="15"/>
        <v>1066589.6666666667</v>
      </c>
      <c r="L75" s="22">
        <v>40000</v>
      </c>
      <c r="M75" s="22">
        <v>40000</v>
      </c>
      <c r="N75" s="22"/>
      <c r="O75" s="22"/>
      <c r="P75" s="22">
        <v>0</v>
      </c>
      <c r="Q75" s="22"/>
      <c r="R75" s="22"/>
      <c r="S75" s="22"/>
      <c r="T75" s="22">
        <f t="shared" si="21"/>
        <v>80000</v>
      </c>
      <c r="U75" s="23">
        <f t="shared" si="47"/>
        <v>986589.66666666674</v>
      </c>
      <c r="V75" s="24"/>
      <c r="W75" s="14"/>
      <c r="X75" s="24">
        <f t="shared" si="48"/>
        <v>986589.66666666674</v>
      </c>
    </row>
    <row r="76" spans="1:25" ht="24" x14ac:dyDescent="0.25">
      <c r="A76" s="248"/>
      <c r="B76" s="13">
        <v>36</v>
      </c>
      <c r="C76" s="19" t="s">
        <v>138</v>
      </c>
      <c r="D76" s="20" t="s">
        <v>32</v>
      </c>
      <c r="E76" s="22">
        <v>4500000</v>
      </c>
      <c r="F76" s="22">
        <v>29</v>
      </c>
      <c r="G76" s="22">
        <f>+E76/30*F76+100005</f>
        <v>4450005</v>
      </c>
      <c r="H76" s="22"/>
      <c r="I76" s="22"/>
      <c r="J76" s="22"/>
      <c r="K76" s="22">
        <f t="shared" si="15"/>
        <v>4450005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3971932</v>
      </c>
      <c r="V76" s="24"/>
      <c r="W76" s="14"/>
      <c r="X76" s="24">
        <f t="shared" si="48"/>
        <v>3971932</v>
      </c>
    </row>
    <row r="77" spans="1:25" x14ac:dyDescent="0.25">
      <c r="A77" s="248"/>
      <c r="B77" s="13">
        <v>37</v>
      </c>
      <c r="C77" s="19" t="s">
        <v>142</v>
      </c>
      <c r="D77" s="20" t="s">
        <v>32</v>
      </c>
      <c r="E77" s="22">
        <v>2500000</v>
      </c>
      <c r="F77" s="22">
        <v>30</v>
      </c>
      <c r="G77" s="22">
        <f t="shared" ref="G77" si="55">+E77/30*F77</f>
        <v>2500000</v>
      </c>
      <c r="H77" s="22"/>
      <c r="I77" s="22">
        <v>500000</v>
      </c>
      <c r="J77" s="22"/>
      <c r="K77" s="22">
        <f t="shared" si="15"/>
        <v>3000000</v>
      </c>
      <c r="L77" s="22">
        <v>100000</v>
      </c>
      <c r="M77" s="22">
        <v>100000</v>
      </c>
      <c r="N77" s="22"/>
      <c r="O77" s="22"/>
      <c r="P77" s="22">
        <v>0</v>
      </c>
      <c r="Q77" s="22"/>
      <c r="R77" s="22"/>
      <c r="S77" s="22"/>
      <c r="T77" s="22">
        <f t="shared" si="21"/>
        <v>200000</v>
      </c>
      <c r="U77" s="23">
        <f>K77-T77</f>
        <v>2800000</v>
      </c>
      <c r="V77" s="24"/>
      <c r="W77" s="14"/>
      <c r="X77" s="24">
        <f t="shared" si="48"/>
        <v>2800000</v>
      </c>
    </row>
    <row r="78" spans="1:25" ht="24" x14ac:dyDescent="0.25">
      <c r="A78" s="248"/>
      <c r="B78" s="13">
        <v>38</v>
      </c>
      <c r="C78" s="19" t="s">
        <v>140</v>
      </c>
      <c r="D78" s="20" t="s">
        <v>32</v>
      </c>
      <c r="E78" s="22">
        <v>2548000</v>
      </c>
      <c r="F78" s="22">
        <v>17</v>
      </c>
      <c r="G78" s="22">
        <f t="shared" si="49"/>
        <v>1443866.6666666665</v>
      </c>
      <c r="H78" s="22"/>
      <c r="I78" s="22"/>
      <c r="J78" s="22">
        <f>+E78-G78</f>
        <v>1104133.3333333335</v>
      </c>
      <c r="K78" s="22">
        <f t="shared" si="15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/>
      <c r="T78" s="22">
        <f t="shared" si="21"/>
        <v>203840</v>
      </c>
      <c r="U78" s="23">
        <f>K78-T78</f>
        <v>2344160</v>
      </c>
      <c r="V78" s="24"/>
      <c r="W78" s="14"/>
      <c r="X78" s="24">
        <f t="shared" si="48"/>
        <v>2344160</v>
      </c>
    </row>
    <row r="79" spans="1:25" x14ac:dyDescent="0.25">
      <c r="A79" s="248"/>
      <c r="B79" s="13">
        <v>39</v>
      </c>
      <c r="C79" s="30" t="s">
        <v>144</v>
      </c>
      <c r="D79" s="26" t="s">
        <v>32</v>
      </c>
      <c r="E79" s="22">
        <v>344727</v>
      </c>
      <c r="F79" s="22">
        <v>30</v>
      </c>
      <c r="G79" s="22">
        <f>+E79/30*F79</f>
        <v>344727</v>
      </c>
      <c r="H79" s="22">
        <v>77700</v>
      </c>
      <c r="I79" s="22"/>
      <c r="J79" s="22">
        <v>80790</v>
      </c>
      <c r="K79" s="22">
        <f t="shared" si="15"/>
        <v>503217</v>
      </c>
      <c r="L79" s="22">
        <f t="shared" si="50"/>
        <v>13789.08</v>
      </c>
      <c r="M79" s="22">
        <f t="shared" si="44"/>
        <v>13789.08</v>
      </c>
      <c r="N79" s="22"/>
      <c r="O79" s="22"/>
      <c r="P79" s="22">
        <v>0</v>
      </c>
      <c r="Q79" s="22"/>
      <c r="R79" s="22"/>
      <c r="S79" s="22"/>
      <c r="T79" s="22">
        <f t="shared" si="21"/>
        <v>27578.16</v>
      </c>
      <c r="U79" s="23">
        <f>K79-T79</f>
        <v>475638.84</v>
      </c>
      <c r="V79" s="24"/>
      <c r="W79" s="14"/>
      <c r="X79" s="24">
        <f t="shared" si="48"/>
        <v>475638.84</v>
      </c>
    </row>
    <row r="80" spans="1:25" x14ac:dyDescent="0.25">
      <c r="A80" s="248"/>
      <c r="B80" s="13">
        <v>40</v>
      </c>
      <c r="C80" s="19" t="s">
        <v>146</v>
      </c>
      <c r="D80" s="20" t="s">
        <v>32</v>
      </c>
      <c r="E80" s="22">
        <v>15400000</v>
      </c>
      <c r="F80" s="22">
        <v>30</v>
      </c>
      <c r="G80" s="22">
        <f t="shared" ref="G80:G88" si="56">+E80/30*F80</f>
        <v>15400000</v>
      </c>
      <c r="H80" s="22"/>
      <c r="I80" s="22">
        <v>600000</v>
      </c>
      <c r="J80" s="22"/>
      <c r="K80" s="22">
        <f t="shared" si="15"/>
        <v>16000000</v>
      </c>
      <c r="L80" s="22">
        <f t="shared" si="50"/>
        <v>616000</v>
      </c>
      <c r="M80" s="22">
        <f>+G80*6%</f>
        <v>924000</v>
      </c>
      <c r="N80" s="22">
        <v>102400</v>
      </c>
      <c r="O80" s="22"/>
      <c r="P80" s="22">
        <v>1014000</v>
      </c>
      <c r="Q80" s="22">
        <v>5000000</v>
      </c>
      <c r="R80" s="22">
        <v>180180</v>
      </c>
      <c r="S80" s="22">
        <v>2314715</v>
      </c>
      <c r="T80" s="22">
        <f t="shared" si="21"/>
        <v>10151295</v>
      </c>
      <c r="U80" s="23">
        <f>+K80-T80</f>
        <v>5848705</v>
      </c>
      <c r="V80" s="24"/>
      <c r="W80" s="14"/>
      <c r="X80" s="24">
        <f t="shared" si="48"/>
        <v>5848705</v>
      </c>
    </row>
    <row r="81" spans="1:24" x14ac:dyDescent="0.25">
      <c r="A81" s="248"/>
      <c r="B81" s="13">
        <v>41</v>
      </c>
      <c r="C81" s="19" t="s">
        <v>148</v>
      </c>
      <c r="D81" s="20" t="s">
        <v>32</v>
      </c>
      <c r="E81" s="22">
        <v>4500000</v>
      </c>
      <c r="F81" s="22">
        <v>30</v>
      </c>
      <c r="G81" s="22">
        <f t="shared" si="56"/>
        <v>4500000</v>
      </c>
      <c r="H81" s="22"/>
      <c r="I81" s="22"/>
      <c r="J81" s="22"/>
      <c r="K81" s="22">
        <f t="shared" si="15"/>
        <v>4500000</v>
      </c>
      <c r="L81" s="22">
        <f t="shared" si="50"/>
        <v>180000</v>
      </c>
      <c r="M81" s="22">
        <f>+G81*5%</f>
        <v>225000</v>
      </c>
      <c r="N81" s="22"/>
      <c r="O81" s="22"/>
      <c r="P81" s="22">
        <v>90000</v>
      </c>
      <c r="Q81" s="22"/>
      <c r="R81" s="22"/>
      <c r="S81" s="22">
        <f>887544</f>
        <v>887544</v>
      </c>
      <c r="T81" s="22">
        <f t="shared" si="21"/>
        <v>1382544</v>
      </c>
      <c r="U81" s="23">
        <f>+K81-T81</f>
        <v>3117456</v>
      </c>
      <c r="V81" s="24"/>
      <c r="W81" s="14"/>
      <c r="X81" s="24">
        <f t="shared" si="48"/>
        <v>3117456</v>
      </c>
    </row>
    <row r="82" spans="1:24" x14ac:dyDescent="0.25">
      <c r="A82" s="248"/>
      <c r="B82" s="13">
        <v>42</v>
      </c>
      <c r="C82" s="19" t="s">
        <v>150</v>
      </c>
      <c r="D82" s="20" t="s">
        <v>32</v>
      </c>
      <c r="E82" s="22">
        <v>1000000</v>
      </c>
      <c r="F82" s="22">
        <v>30</v>
      </c>
      <c r="G82" s="22">
        <f t="shared" si="56"/>
        <v>1000000.0000000001</v>
      </c>
      <c r="H82" s="22">
        <v>77700</v>
      </c>
      <c r="I82" s="22"/>
      <c r="J82" s="22"/>
      <c r="K82" s="22">
        <f t="shared" si="15"/>
        <v>1077700</v>
      </c>
      <c r="L82" s="22">
        <f t="shared" si="50"/>
        <v>40000.000000000007</v>
      </c>
      <c r="M82" s="22">
        <f t="shared" si="44"/>
        <v>40000.000000000007</v>
      </c>
      <c r="N82" s="22"/>
      <c r="O82" s="22"/>
      <c r="P82" s="22">
        <v>0</v>
      </c>
      <c r="Q82" s="22"/>
      <c r="R82" s="22"/>
      <c r="S82" s="22"/>
      <c r="T82" s="22">
        <f t="shared" si="21"/>
        <v>80000.000000000015</v>
      </c>
      <c r="U82" s="23">
        <f>+K82-T82</f>
        <v>997700</v>
      </c>
      <c r="V82" s="24"/>
      <c r="W82" s="14"/>
      <c r="X82" s="24">
        <f t="shared" si="48"/>
        <v>997700</v>
      </c>
    </row>
    <row r="83" spans="1:24" x14ac:dyDescent="0.25">
      <c r="A83" s="248"/>
      <c r="B83" s="13">
        <v>43</v>
      </c>
      <c r="C83" s="30" t="s">
        <v>152</v>
      </c>
      <c r="D83" s="26" t="s">
        <v>32</v>
      </c>
      <c r="E83" s="22">
        <v>1500000</v>
      </c>
      <c r="F83" s="22">
        <v>30</v>
      </c>
      <c r="G83" s="22">
        <f t="shared" si="56"/>
        <v>1500000</v>
      </c>
      <c r="H83" s="22"/>
      <c r="I83" s="22"/>
      <c r="J83" s="22"/>
      <c r="K83" s="22">
        <f t="shared" si="15"/>
        <v>1500000</v>
      </c>
      <c r="L83" s="22">
        <v>60000</v>
      </c>
      <c r="M83" s="22">
        <v>60000</v>
      </c>
      <c r="N83" s="22"/>
      <c r="O83" s="22"/>
      <c r="P83" s="22">
        <v>0</v>
      </c>
      <c r="Q83" s="22"/>
      <c r="R83" s="22"/>
      <c r="S83" s="22"/>
      <c r="T83" s="22">
        <f t="shared" si="21"/>
        <v>120000</v>
      </c>
      <c r="U83" s="23">
        <f>K83-T83</f>
        <v>1380000</v>
      </c>
      <c r="V83" s="24"/>
      <c r="W83" s="14"/>
      <c r="X83" s="24">
        <f t="shared" si="48"/>
        <v>1380000</v>
      </c>
    </row>
    <row r="84" spans="1:24" x14ac:dyDescent="0.25">
      <c r="A84" s="248"/>
      <c r="B84" s="13">
        <v>44</v>
      </c>
      <c r="C84" s="30" t="s">
        <v>184</v>
      </c>
      <c r="D84" s="26" t="s">
        <v>32</v>
      </c>
      <c r="E84" s="22">
        <v>900000</v>
      </c>
      <c r="F84" s="22">
        <v>13</v>
      </c>
      <c r="G84" s="22">
        <f t="shared" si="56"/>
        <v>390000</v>
      </c>
      <c r="H84" s="22">
        <f>+(77700/30)*F84</f>
        <v>33670</v>
      </c>
      <c r="I84" s="22"/>
      <c r="J84" s="22">
        <v>390691</v>
      </c>
      <c r="K84" s="22">
        <f t="shared" si="15"/>
        <v>814361</v>
      </c>
      <c r="L84" s="22">
        <f t="shared" si="50"/>
        <v>15600</v>
      </c>
      <c r="M84" s="22">
        <f>+G84*4%</f>
        <v>15600</v>
      </c>
      <c r="N84" s="22"/>
      <c r="O84" s="22"/>
      <c r="P84" s="22"/>
      <c r="Q84" s="22"/>
      <c r="R84" s="22"/>
      <c r="S84" s="22"/>
      <c r="T84" s="22">
        <f>SUM(L84:S84)</f>
        <v>31200</v>
      </c>
      <c r="U84" s="23">
        <f>K84-T84</f>
        <v>783161</v>
      </c>
      <c r="V84" s="24"/>
      <c r="W84" s="14"/>
      <c r="X84" s="24">
        <f t="shared" si="48"/>
        <v>783161</v>
      </c>
    </row>
    <row r="85" spans="1:24" x14ac:dyDescent="0.25">
      <c r="A85" s="248"/>
      <c r="B85" s="13">
        <v>45</v>
      </c>
      <c r="C85" s="30" t="s">
        <v>197</v>
      </c>
      <c r="D85" s="26" t="s">
        <v>32</v>
      </c>
      <c r="E85" s="22">
        <v>1200000</v>
      </c>
      <c r="F85" s="22">
        <v>13</v>
      </c>
      <c r="G85" s="22">
        <f t="shared" si="56"/>
        <v>520000</v>
      </c>
      <c r="H85" s="22">
        <f>+(77700/30)*F85</f>
        <v>33670</v>
      </c>
      <c r="I85" s="22"/>
      <c r="J85" s="22">
        <v>390691</v>
      </c>
      <c r="K85" s="22">
        <f t="shared" ref="K85" si="57">SUM(G85:I85)+J85</f>
        <v>944361</v>
      </c>
      <c r="L85" s="22">
        <f t="shared" si="50"/>
        <v>20800</v>
      </c>
      <c r="M85" s="22">
        <f>+G85*4%</f>
        <v>20800</v>
      </c>
      <c r="N85" s="22"/>
      <c r="O85" s="22"/>
      <c r="P85" s="22"/>
      <c r="Q85" s="22"/>
      <c r="R85" s="22"/>
      <c r="S85" s="22">
        <v>88400</v>
      </c>
      <c r="T85" s="22">
        <f t="shared" ref="T85" si="58">SUM(L85:S85)</f>
        <v>130000</v>
      </c>
      <c r="U85" s="23">
        <f>K85-T85</f>
        <v>814361</v>
      </c>
      <c r="V85" s="24"/>
      <c r="W85" s="14"/>
      <c r="X85" s="24">
        <f t="shared" si="48"/>
        <v>814361</v>
      </c>
    </row>
    <row r="86" spans="1:24" ht="24" x14ac:dyDescent="0.25">
      <c r="A86" s="248"/>
      <c r="B86" s="13">
        <v>46</v>
      </c>
      <c r="C86" s="19" t="s">
        <v>175</v>
      </c>
      <c r="D86" s="20" t="s">
        <v>32</v>
      </c>
      <c r="E86" s="22">
        <v>2000000</v>
      </c>
      <c r="F86" s="22">
        <v>30</v>
      </c>
      <c r="G86" s="22">
        <f t="shared" si="56"/>
        <v>2000000.0000000002</v>
      </c>
      <c r="H86" s="22"/>
      <c r="I86" s="22"/>
      <c r="J86" s="22"/>
      <c r="K86" s="22">
        <f t="shared" si="15"/>
        <v>2000000.0000000002</v>
      </c>
      <c r="L86" s="22">
        <f t="shared" si="50"/>
        <v>80000.000000000015</v>
      </c>
      <c r="M86" s="22">
        <f t="shared" si="44"/>
        <v>80000.000000000015</v>
      </c>
      <c r="N86" s="22"/>
      <c r="O86" s="22"/>
      <c r="P86" s="22"/>
      <c r="Q86" s="22"/>
      <c r="R86" s="22"/>
      <c r="S86" s="22"/>
      <c r="T86" s="22">
        <f t="shared" si="21"/>
        <v>160000.00000000003</v>
      </c>
      <c r="U86" s="23">
        <f>+K86-T86</f>
        <v>1840000.0000000002</v>
      </c>
      <c r="V86" s="24"/>
      <c r="W86" s="14"/>
      <c r="X86" s="24">
        <f t="shared" si="48"/>
        <v>1840000.0000000002</v>
      </c>
    </row>
    <row r="87" spans="1:24" ht="24" x14ac:dyDescent="0.25">
      <c r="A87" s="248"/>
      <c r="B87" s="13">
        <v>47</v>
      </c>
      <c r="C87" s="19" t="s">
        <v>88</v>
      </c>
      <c r="D87" s="20" t="s">
        <v>32</v>
      </c>
      <c r="E87" s="22">
        <v>3700000</v>
      </c>
      <c r="F87" s="22">
        <v>30</v>
      </c>
      <c r="G87" s="22">
        <f t="shared" si="56"/>
        <v>3700000</v>
      </c>
      <c r="H87" s="22"/>
      <c r="I87" s="22">
        <v>650000</v>
      </c>
      <c r="J87" s="22"/>
      <c r="K87" s="22">
        <f t="shared" ref="K87" si="59">SUM(G87:I87)+J87</f>
        <v>4350000</v>
      </c>
      <c r="L87" s="22">
        <f t="shared" si="50"/>
        <v>148000</v>
      </c>
      <c r="M87" s="22">
        <f>+G87*5%</f>
        <v>185000</v>
      </c>
      <c r="N87" s="22"/>
      <c r="O87" s="22"/>
      <c r="P87" s="22">
        <v>35000</v>
      </c>
      <c r="Q87" s="22"/>
      <c r="R87" s="22"/>
      <c r="S87" s="22"/>
      <c r="T87" s="22">
        <f t="shared" ref="T87" si="60">SUM(L87:S87)</f>
        <v>368000</v>
      </c>
      <c r="U87" s="23">
        <f>+K87-T87</f>
        <v>3982000</v>
      </c>
      <c r="V87" s="24"/>
      <c r="W87" s="14"/>
      <c r="X87" s="24">
        <f t="shared" si="48"/>
        <v>3982000</v>
      </c>
    </row>
    <row r="88" spans="1:24" x14ac:dyDescent="0.25">
      <c r="A88" s="248"/>
      <c r="B88" s="13">
        <v>48</v>
      </c>
      <c r="C88" s="19" t="s">
        <v>154</v>
      </c>
      <c r="D88" s="20" t="s">
        <v>105</v>
      </c>
      <c r="E88" s="22">
        <v>1400000</v>
      </c>
      <c r="F88" s="22">
        <v>30</v>
      </c>
      <c r="G88" s="22">
        <f t="shared" si="56"/>
        <v>1400000</v>
      </c>
      <c r="H88" s="22"/>
      <c r="I88" s="22"/>
      <c r="J88" s="22"/>
      <c r="K88" s="22">
        <f t="shared" si="15"/>
        <v>1400000</v>
      </c>
      <c r="L88" s="22">
        <v>56000</v>
      </c>
      <c r="M88" s="22">
        <v>56000</v>
      </c>
      <c r="N88" s="22"/>
      <c r="O88" s="22"/>
      <c r="P88" s="25"/>
      <c r="Q88" s="22"/>
      <c r="R88" s="22"/>
      <c r="S88" s="22"/>
      <c r="T88" s="22">
        <f t="shared" si="21"/>
        <v>112000</v>
      </c>
      <c r="U88" s="23">
        <f>+K88-T88</f>
        <v>1288000</v>
      </c>
      <c r="V88" s="24"/>
      <c r="W88" s="14"/>
      <c r="X88" s="24">
        <f t="shared" si="48"/>
        <v>1288000</v>
      </c>
    </row>
    <row r="89" spans="1:24" x14ac:dyDescent="0.25">
      <c r="A89" s="248"/>
      <c r="B89" s="13">
        <v>49</v>
      </c>
      <c r="C89" s="30" t="s">
        <v>159</v>
      </c>
      <c r="D89" s="26" t="s">
        <v>32</v>
      </c>
      <c r="E89" s="22">
        <v>1300000</v>
      </c>
      <c r="F89" s="22">
        <v>30</v>
      </c>
      <c r="G89" s="22">
        <f>+E89/30*F89</f>
        <v>1300000</v>
      </c>
      <c r="H89" s="22">
        <v>77700</v>
      </c>
      <c r="I89" s="22"/>
      <c r="J89" s="22"/>
      <c r="K89" s="22">
        <f t="shared" si="15"/>
        <v>1377700</v>
      </c>
      <c r="L89" s="22">
        <f t="shared" si="50"/>
        <v>52000</v>
      </c>
      <c r="M89" s="22">
        <f t="shared" si="44"/>
        <v>52000</v>
      </c>
      <c r="N89" s="22"/>
      <c r="O89" s="22"/>
      <c r="P89" s="22">
        <v>0</v>
      </c>
      <c r="Q89" s="22"/>
      <c r="R89" s="22"/>
      <c r="S89" s="22">
        <v>249127</v>
      </c>
      <c r="T89" s="22">
        <f t="shared" si="21"/>
        <v>353127</v>
      </c>
      <c r="U89" s="23">
        <f>K89-T89</f>
        <v>1024573</v>
      </c>
      <c r="V89" s="24"/>
      <c r="W89" s="14"/>
      <c r="X89" s="24">
        <f t="shared" si="48"/>
        <v>1024573</v>
      </c>
    </row>
    <row r="90" spans="1:24" x14ac:dyDescent="0.25">
      <c r="A90" s="248"/>
      <c r="B90" s="13">
        <v>50</v>
      </c>
      <c r="C90" s="19" t="s">
        <v>161</v>
      </c>
      <c r="D90" s="20" t="s">
        <v>32</v>
      </c>
      <c r="E90" s="22">
        <v>689455</v>
      </c>
      <c r="F90" s="22">
        <v>30</v>
      </c>
      <c r="G90" s="22">
        <f>+E90/30*F90</f>
        <v>689455</v>
      </c>
      <c r="H90" s="22">
        <v>77700</v>
      </c>
      <c r="I90" s="22"/>
      <c r="J90" s="22"/>
      <c r="K90" s="22">
        <f t="shared" si="15"/>
        <v>767155</v>
      </c>
      <c r="L90" s="22">
        <f t="shared" si="50"/>
        <v>27578.2</v>
      </c>
      <c r="M90" s="22">
        <f t="shared" si="44"/>
        <v>27578.2</v>
      </c>
      <c r="N90" s="22"/>
      <c r="O90" s="22"/>
      <c r="P90" s="22">
        <v>0</v>
      </c>
      <c r="Q90" s="22"/>
      <c r="R90" s="22"/>
      <c r="S90" s="22"/>
      <c r="T90" s="22">
        <f t="shared" si="21"/>
        <v>55156.4</v>
      </c>
      <c r="U90" s="23">
        <f>+K90-T90</f>
        <v>711998.6</v>
      </c>
      <c r="V90" s="24"/>
      <c r="W90" s="14"/>
      <c r="X90" s="24">
        <f t="shared" si="48"/>
        <v>711998.6</v>
      </c>
    </row>
    <row r="91" spans="1:24" ht="24" x14ac:dyDescent="0.25">
      <c r="A91" s="248"/>
      <c r="B91" s="13">
        <v>51</v>
      </c>
      <c r="C91" s="19" t="s">
        <v>163</v>
      </c>
      <c r="D91" s="20" t="s">
        <v>32</v>
      </c>
      <c r="E91" s="22">
        <v>1200000</v>
      </c>
      <c r="F91" s="22">
        <v>30</v>
      </c>
      <c r="G91" s="22">
        <f>+E91/30*F91</f>
        <v>1200000</v>
      </c>
      <c r="H91" s="22">
        <v>77700</v>
      </c>
      <c r="I91" s="22"/>
      <c r="J91" s="22"/>
      <c r="K91" s="22">
        <f t="shared" si="15"/>
        <v>1277700</v>
      </c>
      <c r="L91" s="22">
        <f t="shared" si="50"/>
        <v>48000</v>
      </c>
      <c r="M91" s="22">
        <f t="shared" si="44"/>
        <v>48000</v>
      </c>
      <c r="N91" s="22"/>
      <c r="O91" s="22"/>
      <c r="P91" s="22">
        <v>0</v>
      </c>
      <c r="Q91" s="22"/>
      <c r="R91" s="22"/>
      <c r="S91" s="22"/>
      <c r="T91" s="22">
        <f t="shared" si="21"/>
        <v>96000</v>
      </c>
      <c r="U91" s="23">
        <f>+K91-T91</f>
        <v>1181700</v>
      </c>
      <c r="V91" s="24"/>
      <c r="W91" s="14"/>
      <c r="X91" s="24">
        <f t="shared" si="48"/>
        <v>1181700</v>
      </c>
    </row>
    <row r="92" spans="1:24" ht="24" x14ac:dyDescent="0.25">
      <c r="A92" s="51"/>
      <c r="B92" s="13">
        <v>52</v>
      </c>
      <c r="C92" s="19" t="s">
        <v>207</v>
      </c>
      <c r="D92" s="20" t="s">
        <v>32</v>
      </c>
      <c r="E92" s="22">
        <v>1100000</v>
      </c>
      <c r="F92" s="22">
        <v>13</v>
      </c>
      <c r="G92" s="22">
        <f>+E92/30*F92</f>
        <v>476666.66666666663</v>
      </c>
      <c r="H92" s="22">
        <f>+(77700/30)*F92</f>
        <v>33670</v>
      </c>
      <c r="I92" s="22"/>
      <c r="J92" s="22"/>
      <c r="K92" s="22">
        <f t="shared" ref="K92" si="61">SUM(G92:I92)+J92</f>
        <v>510336.66666666663</v>
      </c>
      <c r="L92" s="22">
        <f t="shared" si="50"/>
        <v>19066.666666666664</v>
      </c>
      <c r="M92" s="22">
        <f t="shared" si="44"/>
        <v>19066.666666666664</v>
      </c>
      <c r="N92" s="22"/>
      <c r="O92" s="22"/>
      <c r="P92" s="22">
        <v>0</v>
      </c>
      <c r="Q92" s="22"/>
      <c r="R92" s="22"/>
      <c r="S92" s="22"/>
      <c r="T92" s="22">
        <f t="shared" si="21"/>
        <v>38133.333333333328</v>
      </c>
      <c r="U92" s="23">
        <f>+K92-T92</f>
        <v>472203.33333333331</v>
      </c>
      <c r="V92" s="24"/>
      <c r="W92" s="14"/>
      <c r="X92" s="24">
        <f t="shared" si="48"/>
        <v>472203.33333333331</v>
      </c>
    </row>
    <row r="93" spans="1:24" ht="18.75" customHeight="1" x14ac:dyDescent="0.25">
      <c r="A93" s="51"/>
      <c r="B93" s="13">
        <v>53</v>
      </c>
      <c r="C93" s="19" t="s">
        <v>165</v>
      </c>
      <c r="D93" s="20" t="s">
        <v>32</v>
      </c>
      <c r="E93" s="22">
        <v>2000000</v>
      </c>
      <c r="F93" s="22">
        <v>30</v>
      </c>
      <c r="G93" s="22">
        <f t="shared" ref="G93:G96" si="62">+E93/30*F93</f>
        <v>2000000.0000000002</v>
      </c>
      <c r="H93" s="22"/>
      <c r="I93" s="22">
        <v>1109375</v>
      </c>
      <c r="J93" s="22"/>
      <c r="K93" s="22">
        <f t="shared" si="15"/>
        <v>3109375</v>
      </c>
      <c r="L93" s="22">
        <f t="shared" si="50"/>
        <v>80000.000000000015</v>
      </c>
      <c r="M93" s="22">
        <f t="shared" si="44"/>
        <v>80000.000000000015</v>
      </c>
      <c r="N93" s="22"/>
      <c r="O93" s="22"/>
      <c r="P93" s="22"/>
      <c r="Q93" s="22"/>
      <c r="R93" s="22"/>
      <c r="S93" s="22"/>
      <c r="T93" s="22">
        <f t="shared" si="21"/>
        <v>160000.00000000003</v>
      </c>
      <c r="U93" s="23">
        <f>+K93-T93</f>
        <v>2949375</v>
      </c>
      <c r="V93" s="24"/>
      <c r="W93" s="14"/>
      <c r="X93" s="24">
        <f t="shared" si="48"/>
        <v>2949375</v>
      </c>
    </row>
    <row r="94" spans="1:24" ht="24" x14ac:dyDescent="0.25">
      <c r="A94" s="51"/>
      <c r="B94" s="13">
        <v>54</v>
      </c>
      <c r="C94" s="19" t="s">
        <v>168</v>
      </c>
      <c r="D94" s="20" t="s">
        <v>32</v>
      </c>
      <c r="E94" s="22">
        <v>900000</v>
      </c>
      <c r="F94" s="22">
        <v>13</v>
      </c>
      <c r="G94" s="22">
        <f t="shared" si="62"/>
        <v>390000</v>
      </c>
      <c r="H94" s="22">
        <f>+(77700/30)*F94</f>
        <v>33670</v>
      </c>
      <c r="I94" s="22"/>
      <c r="J94" s="22">
        <v>390691</v>
      </c>
      <c r="K94" s="22">
        <f t="shared" ref="K94:K96" si="63">SUM(G94:I94)+J94</f>
        <v>814361</v>
      </c>
      <c r="L94" s="22">
        <f t="shared" si="50"/>
        <v>15600</v>
      </c>
      <c r="M94" s="22">
        <f t="shared" si="44"/>
        <v>15600</v>
      </c>
      <c r="N94" s="22"/>
      <c r="O94" s="22"/>
      <c r="P94" s="22">
        <v>0</v>
      </c>
      <c r="Q94" s="22"/>
      <c r="R94" s="22"/>
      <c r="S94" s="22"/>
      <c r="T94" s="22">
        <f t="shared" si="21"/>
        <v>31200</v>
      </c>
      <c r="U94" s="23">
        <f>K94-T94</f>
        <v>783161</v>
      </c>
      <c r="V94" s="24"/>
      <c r="W94" s="14"/>
      <c r="X94" s="24">
        <f t="shared" si="48"/>
        <v>783161</v>
      </c>
    </row>
    <row r="95" spans="1:24" ht="24" x14ac:dyDescent="0.25">
      <c r="A95" s="51"/>
      <c r="B95" s="13">
        <v>55</v>
      </c>
      <c r="C95" s="19" t="s">
        <v>176</v>
      </c>
      <c r="D95" s="20" t="s">
        <v>32</v>
      </c>
      <c r="E95" s="22">
        <v>4000000</v>
      </c>
      <c r="F95" s="22">
        <v>30</v>
      </c>
      <c r="G95" s="22">
        <f t="shared" si="62"/>
        <v>4000000.0000000005</v>
      </c>
      <c r="H95" s="22"/>
      <c r="I95" s="22"/>
      <c r="J95" s="22"/>
      <c r="K95" s="22">
        <f t="shared" ref="K95" si="64">SUM(G95:I95)+J95</f>
        <v>4000000.0000000005</v>
      </c>
      <c r="L95" s="22">
        <f t="shared" si="50"/>
        <v>160000.00000000003</v>
      </c>
      <c r="M95" s="22">
        <f>+G95*5%</f>
        <v>200000.00000000003</v>
      </c>
      <c r="N95" s="22"/>
      <c r="O95" s="22"/>
      <c r="P95" s="22">
        <v>31064</v>
      </c>
      <c r="Q95" s="22"/>
      <c r="R95" s="22"/>
      <c r="S95" s="22"/>
      <c r="T95" s="22">
        <f t="shared" si="21"/>
        <v>391064.00000000006</v>
      </c>
      <c r="U95" s="23">
        <f>+K95-T95</f>
        <v>3608936.0000000005</v>
      </c>
      <c r="V95" s="24"/>
      <c r="W95" s="14"/>
      <c r="X95" s="24">
        <f t="shared" si="48"/>
        <v>3608936.0000000005</v>
      </c>
    </row>
    <row r="96" spans="1:24" ht="24.75" customHeight="1" x14ac:dyDescent="0.25">
      <c r="A96" s="51"/>
      <c r="B96" s="13">
        <v>56</v>
      </c>
      <c r="C96" s="19" t="s">
        <v>166</v>
      </c>
      <c r="D96" s="20" t="s">
        <v>32</v>
      </c>
      <c r="E96" s="22">
        <v>2500000</v>
      </c>
      <c r="F96" s="22">
        <v>30</v>
      </c>
      <c r="G96" s="22">
        <f t="shared" si="62"/>
        <v>2500000</v>
      </c>
      <c r="H96" s="22"/>
      <c r="I96" s="22">
        <v>500000</v>
      </c>
      <c r="J96" s="22"/>
      <c r="K96" s="22">
        <f t="shared" si="63"/>
        <v>3000000</v>
      </c>
      <c r="L96" s="22">
        <v>100000</v>
      </c>
      <c r="M96" s="22">
        <v>100000</v>
      </c>
      <c r="N96" s="22"/>
      <c r="O96" s="22"/>
      <c r="P96" s="22">
        <v>0</v>
      </c>
      <c r="Q96" s="22"/>
      <c r="R96" s="22"/>
      <c r="S96" s="22"/>
      <c r="T96" s="22">
        <f t="shared" si="21"/>
        <v>200000</v>
      </c>
      <c r="U96" s="23">
        <f>K96-T96</f>
        <v>2800000</v>
      </c>
      <c r="V96" s="24"/>
      <c r="W96" s="14"/>
      <c r="X96" s="24">
        <f t="shared" si="48"/>
        <v>2800000</v>
      </c>
    </row>
    <row r="97" spans="1:28" x14ac:dyDescent="0.25">
      <c r="A97" s="13"/>
      <c r="B97" s="13"/>
      <c r="C97" s="12" t="s">
        <v>169</v>
      </c>
      <c r="D97" s="13"/>
      <c r="E97" s="52">
        <f>SUM(E4:E96)</f>
        <v>282948421</v>
      </c>
      <c r="F97" s="52" t="s">
        <v>1</v>
      </c>
      <c r="G97" s="52">
        <f>SUM(G4:G96)</f>
        <v>261763124.83333334</v>
      </c>
      <c r="H97" s="52">
        <f>SUM(H5:H91)</f>
        <v>2338799.1666666665</v>
      </c>
      <c r="I97" s="52">
        <f>SUM(I5:I91)</f>
        <v>12601955</v>
      </c>
      <c r="J97" s="52">
        <f>SUM(J4:J96)</f>
        <v>11035535.666666668</v>
      </c>
      <c r="K97" s="52">
        <f>SUM(K5:K91)</f>
        <v>275732057</v>
      </c>
      <c r="L97" s="52">
        <f>SUM(L5:L91)</f>
        <v>10343580.973333335</v>
      </c>
      <c r="M97" s="52">
        <f>SUM(M5:M91)</f>
        <v>12573640.056666663</v>
      </c>
      <c r="N97" s="52">
        <f>SUM(N5:N91)</f>
        <v>102400</v>
      </c>
      <c r="O97" s="52">
        <f>SUM(O4:O96)</f>
        <v>0</v>
      </c>
      <c r="P97" s="52">
        <f>SUM(P4:P96)</f>
        <v>3876170</v>
      </c>
      <c r="Q97" s="52">
        <f>SUM(Q5:Q91)</f>
        <v>6200000</v>
      </c>
      <c r="R97" s="52">
        <f>SUM(R5:R91)</f>
        <v>466279</v>
      </c>
      <c r="S97" s="52">
        <f>SUM(S5:S91)</f>
        <v>13442774</v>
      </c>
      <c r="T97" s="52">
        <f>SUM(T5:T91)</f>
        <v>46973780.029999986</v>
      </c>
      <c r="U97" s="24">
        <f>SUM(U4:U96)</f>
        <v>241419452.30333331</v>
      </c>
      <c r="V97" s="24">
        <f>SUM(V5:V91)</f>
        <v>0</v>
      </c>
      <c r="W97" s="14">
        <f>SUM(W5:W91)</f>
        <v>0</v>
      </c>
      <c r="X97" s="24">
        <f>SUM(X4:X96)</f>
        <v>241419452.30333331</v>
      </c>
    </row>
    <row r="98" spans="1:28" x14ac:dyDescent="0.25">
      <c r="E98" s="33"/>
      <c r="F98" s="33"/>
      <c r="G98" s="33"/>
      <c r="U98" s="35"/>
      <c r="V98" s="35"/>
      <c r="X98" s="35"/>
    </row>
    <row r="99" spans="1:28" x14ac:dyDescent="0.25"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2"/>
      <c r="W99" s="38"/>
      <c r="X99" s="37"/>
    </row>
    <row r="100" spans="1:28" x14ac:dyDescent="0.25"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2"/>
      <c r="V100" s="32"/>
      <c r="W100" s="38"/>
      <c r="X100" s="37"/>
    </row>
    <row r="101" spans="1:28" x14ac:dyDescent="0.25">
      <c r="C101" s="39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2"/>
      <c r="V101" s="32"/>
      <c r="W101" s="38"/>
      <c r="X101" s="37"/>
    </row>
    <row r="102" spans="1:28" x14ac:dyDescent="0.25">
      <c r="C102" s="39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2"/>
      <c r="V102" s="32"/>
      <c r="W102" s="38"/>
      <c r="X102" s="32"/>
      <c r="Y102" s="32"/>
      <c r="Z102" s="32"/>
      <c r="AA102" s="32"/>
      <c r="AB102" s="32"/>
    </row>
    <row r="103" spans="1:28" x14ac:dyDescent="0.25">
      <c r="B103" s="32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33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32"/>
      <c r="Z103" s="32"/>
      <c r="AA103" s="32"/>
      <c r="AB103" s="32"/>
    </row>
    <row r="104" spans="1:28" x14ac:dyDescent="0.25">
      <c r="B104" s="32"/>
      <c r="C104" s="39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2"/>
      <c r="V104" s="32"/>
      <c r="W104" s="38"/>
      <c r="X104" s="32"/>
      <c r="Y104" s="32"/>
      <c r="Z104" s="32"/>
      <c r="AA104" s="32"/>
      <c r="AB104" s="32"/>
    </row>
    <row r="105" spans="1:28" x14ac:dyDescent="0.25">
      <c r="B105" s="32"/>
      <c r="C105" s="39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2"/>
      <c r="V105" s="32"/>
      <c r="W105" s="38"/>
      <c r="X105" s="32"/>
      <c r="Y105" s="32"/>
      <c r="Z105" s="32"/>
      <c r="AA105" s="32"/>
      <c r="AB105" s="32"/>
    </row>
    <row r="106" spans="1:28" x14ac:dyDescent="0.25">
      <c r="B106" s="32"/>
      <c r="C106" s="39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2"/>
      <c r="V106" s="32"/>
      <c r="W106" s="38"/>
      <c r="X106" s="32"/>
      <c r="Y106" s="32"/>
      <c r="Z106" s="32"/>
      <c r="AA106" s="32"/>
      <c r="AB106" s="32"/>
    </row>
    <row r="107" spans="1:28" x14ac:dyDescent="0.25">
      <c r="B107" s="3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2"/>
      <c r="W107" s="43"/>
      <c r="X107" s="42"/>
      <c r="Y107" s="32"/>
      <c r="Z107" s="32"/>
      <c r="AA107" s="32"/>
      <c r="AB107" s="32"/>
    </row>
    <row r="108" spans="1:28" x14ac:dyDescent="0.25">
      <c r="B108" s="53"/>
      <c r="C108" s="39"/>
      <c r="D108" s="42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2"/>
      <c r="V108" s="42"/>
      <c r="W108" s="43"/>
      <c r="X108" s="42"/>
      <c r="Y108" s="32"/>
      <c r="Z108" s="32"/>
      <c r="AA108" s="32"/>
      <c r="AB108" s="32"/>
    </row>
    <row r="109" spans="1:28" x14ac:dyDescent="0.25">
      <c r="B109" s="32"/>
      <c r="C109" s="39"/>
      <c r="D109" s="32"/>
      <c r="E109" s="33"/>
      <c r="F109" s="33"/>
      <c r="G109" s="46"/>
      <c r="H109" s="33"/>
      <c r="I109" s="33"/>
      <c r="J109" s="33"/>
      <c r="K109" s="33"/>
      <c r="L109" s="33"/>
      <c r="M109" s="33"/>
      <c r="N109" s="47"/>
      <c r="O109" s="47"/>
      <c r="P109" s="47"/>
      <c r="Q109" s="47"/>
      <c r="R109" s="47"/>
      <c r="S109" s="33"/>
      <c r="T109" s="33"/>
      <c r="U109" s="32"/>
      <c r="V109" s="32"/>
      <c r="W109" s="38"/>
      <c r="X109" s="32"/>
      <c r="Y109" s="32"/>
      <c r="Z109" s="32"/>
      <c r="AA109" s="32"/>
      <c r="AB109" s="32"/>
    </row>
    <row r="110" spans="1:28" x14ac:dyDescent="0.25">
      <c r="B110" s="32"/>
      <c r="C110" s="44"/>
      <c r="D110" s="42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2"/>
      <c r="V110" s="42"/>
      <c r="W110" s="43"/>
      <c r="X110" s="42"/>
      <c r="Y110" s="32"/>
      <c r="Z110" s="32"/>
      <c r="AA110" s="32"/>
      <c r="AB110" s="32"/>
    </row>
    <row r="111" spans="1:28" x14ac:dyDescent="0.25">
      <c r="B111" s="42"/>
      <c r="C111" s="44"/>
      <c r="D111" s="42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2"/>
      <c r="V111" s="42"/>
      <c r="W111" s="43"/>
      <c r="X111" s="42"/>
      <c r="Y111" s="32"/>
      <c r="Z111" s="32"/>
      <c r="AA111" s="32"/>
      <c r="AB111" s="32"/>
    </row>
    <row r="112" spans="1:28" x14ac:dyDescent="0.25">
      <c r="B112" s="32"/>
      <c r="C112" s="44"/>
      <c r="D112" s="4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7"/>
      <c r="V112" s="37"/>
      <c r="W112" s="38"/>
      <c r="X112" s="37"/>
      <c r="Y112" s="32"/>
      <c r="Z112" s="32"/>
      <c r="AA112" s="32"/>
      <c r="AB112" s="32"/>
    </row>
    <row r="113" spans="3:28" x14ac:dyDescent="0.25">
      <c r="C113" s="44"/>
      <c r="D113" s="4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7"/>
      <c r="V113" s="37"/>
      <c r="W113" s="38"/>
      <c r="X113" s="37"/>
      <c r="Y113" s="32"/>
      <c r="Z113" s="32"/>
      <c r="AA113" s="32"/>
      <c r="AB113" s="32"/>
    </row>
    <row r="114" spans="3:28" x14ac:dyDescent="0.25">
      <c r="C114" s="44"/>
      <c r="D114" s="4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7"/>
      <c r="V114" s="37"/>
      <c r="W114" s="38"/>
      <c r="X114" s="37"/>
      <c r="Y114" s="32"/>
      <c r="Z114" s="32"/>
      <c r="AA114" s="32"/>
      <c r="AB114" s="32"/>
    </row>
    <row r="115" spans="3:28" x14ac:dyDescent="0.25">
      <c r="C115" s="44"/>
      <c r="D115" s="4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7"/>
      <c r="V115" s="37"/>
      <c r="W115" s="38"/>
      <c r="X115" s="37"/>
      <c r="Y115" s="32"/>
      <c r="Z115" s="32"/>
      <c r="AA115" s="32"/>
      <c r="AB115" s="32"/>
    </row>
    <row r="116" spans="3:28" x14ac:dyDescent="0.25">
      <c r="C116" s="44"/>
      <c r="D116" s="4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7"/>
      <c r="V116" s="37"/>
      <c r="W116" s="38"/>
      <c r="X116" s="37"/>
      <c r="Y116" s="32"/>
      <c r="Z116" s="32"/>
      <c r="AA116" s="32"/>
      <c r="AB116" s="32"/>
    </row>
    <row r="117" spans="3:28" x14ac:dyDescent="0.25">
      <c r="C117" s="44"/>
      <c r="D117" s="4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7"/>
      <c r="V117" s="37"/>
      <c r="W117" s="38"/>
      <c r="X117" s="37"/>
      <c r="Y117" s="32"/>
      <c r="Z117" s="32"/>
      <c r="AA117" s="32"/>
      <c r="AB117" s="32"/>
    </row>
    <row r="118" spans="3:28" x14ac:dyDescent="0.25">
      <c r="C118" s="39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7"/>
      <c r="V118" s="37"/>
      <c r="W118" s="38"/>
      <c r="X118" s="37"/>
      <c r="Y118" s="32"/>
      <c r="Z118" s="32"/>
      <c r="AA118" s="32"/>
      <c r="AB118" s="32"/>
    </row>
    <row r="119" spans="3:28" x14ac:dyDescent="0.25">
      <c r="C119" s="44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7"/>
      <c r="V119" s="37"/>
      <c r="W119" s="38"/>
      <c r="X119" s="37"/>
      <c r="Y119" s="32"/>
      <c r="Z119" s="32"/>
      <c r="AA119" s="32"/>
      <c r="AB119" s="32"/>
    </row>
    <row r="120" spans="3:28" x14ac:dyDescent="0.25">
      <c r="C120" s="44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7"/>
      <c r="V120" s="37"/>
      <c r="W120" s="38"/>
      <c r="X120" s="37"/>
      <c r="Y120" s="32"/>
      <c r="Z120" s="32"/>
      <c r="AA120" s="32"/>
      <c r="AB120" s="32"/>
    </row>
    <row r="121" spans="3:28" x14ac:dyDescent="0.25">
      <c r="C121" s="44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7"/>
      <c r="V121" s="37"/>
      <c r="W121" s="38"/>
      <c r="X121" s="37"/>
      <c r="Y121" s="32"/>
      <c r="Z121" s="32"/>
      <c r="AA121" s="32"/>
      <c r="AB121" s="32"/>
    </row>
    <row r="122" spans="3:28" x14ac:dyDescent="0.25">
      <c r="C122" s="44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7"/>
      <c r="V122" s="37"/>
      <c r="W122" s="38"/>
      <c r="X122" s="37"/>
      <c r="Y122" s="32"/>
      <c r="Z122" s="32"/>
      <c r="AA122" s="32"/>
      <c r="AB122" s="32"/>
    </row>
    <row r="123" spans="3:28" x14ac:dyDescent="0.25">
      <c r="C123" s="44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7"/>
      <c r="V123" s="37"/>
      <c r="W123" s="38"/>
      <c r="X123" s="37"/>
      <c r="Y123" s="32"/>
      <c r="Z123" s="32"/>
      <c r="AA123" s="32"/>
      <c r="AB123" s="32"/>
    </row>
    <row r="124" spans="3:28" x14ac:dyDescent="0.25">
      <c r="C124" s="44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7"/>
      <c r="V124" s="37"/>
      <c r="W124" s="38"/>
      <c r="X124" s="37"/>
      <c r="Y124" s="32"/>
      <c r="Z124" s="32"/>
      <c r="AA124" s="32"/>
      <c r="AB124" s="32"/>
    </row>
    <row r="125" spans="3:28" x14ac:dyDescent="0.25">
      <c r="C125" s="44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7"/>
      <c r="V125" s="37"/>
      <c r="W125" s="38"/>
      <c r="X125" s="37"/>
      <c r="Y125" s="32"/>
      <c r="Z125" s="32"/>
      <c r="AA125" s="32"/>
      <c r="AB125" s="32"/>
    </row>
    <row r="126" spans="3:28" x14ac:dyDescent="0.25">
      <c r="C126" s="44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7"/>
      <c r="V126" s="37"/>
      <c r="W126" s="38"/>
      <c r="X126" s="37"/>
      <c r="Y126" s="32"/>
      <c r="Z126" s="32"/>
      <c r="AA126" s="32"/>
      <c r="AB126" s="32"/>
    </row>
    <row r="127" spans="3:28" x14ac:dyDescent="0.25">
      <c r="C127" s="44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7"/>
      <c r="V127" s="37"/>
      <c r="W127" s="38"/>
      <c r="X127" s="37"/>
      <c r="Y127" s="32"/>
      <c r="Z127" s="32"/>
      <c r="AA127" s="32"/>
      <c r="AB127" s="32"/>
    </row>
    <row r="128" spans="3:28" x14ac:dyDescent="0.25">
      <c r="C128" s="44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7"/>
      <c r="V128" s="37"/>
      <c r="W128" s="38"/>
      <c r="X128" s="37"/>
      <c r="Y128" s="32"/>
      <c r="Z128" s="32"/>
      <c r="AA128" s="32"/>
      <c r="AB128" s="32"/>
    </row>
    <row r="129" spans="2:28" x14ac:dyDescent="0.25">
      <c r="C129" s="44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7"/>
      <c r="V129" s="37"/>
      <c r="W129" s="38"/>
      <c r="X129" s="37"/>
      <c r="Y129" s="32"/>
      <c r="Z129" s="32"/>
      <c r="AA129" s="32"/>
      <c r="AB129" s="32"/>
    </row>
    <row r="130" spans="2:28" x14ac:dyDescent="0.25">
      <c r="C130" s="39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2"/>
      <c r="V130" s="32"/>
      <c r="W130" s="38"/>
      <c r="X130" s="32"/>
      <c r="Y130" s="32"/>
      <c r="Z130" s="32"/>
      <c r="AA130" s="32"/>
      <c r="AB130" s="32"/>
    </row>
    <row r="131" spans="2:28" x14ac:dyDescent="0.25">
      <c r="C131" s="39"/>
      <c r="D131" s="32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32"/>
      <c r="S131" s="33"/>
      <c r="T131" s="33"/>
      <c r="U131" s="32"/>
      <c r="V131" s="32"/>
      <c r="W131" s="38"/>
      <c r="X131" s="32"/>
      <c r="Y131" s="32"/>
      <c r="Z131" s="32"/>
      <c r="AA131" s="32"/>
      <c r="AB131" s="32"/>
    </row>
    <row r="132" spans="2:28" x14ac:dyDescent="0.25">
      <c r="B132" s="32"/>
      <c r="C132" s="39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32"/>
      <c r="Z132" s="32"/>
      <c r="AA132" s="32"/>
      <c r="AB132" s="32"/>
    </row>
    <row r="133" spans="2:28" x14ac:dyDescent="0.25">
      <c r="B133" s="32"/>
      <c r="C133" s="39"/>
      <c r="D133" s="32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2"/>
      <c r="V133" s="42"/>
      <c r="W133" s="43"/>
      <c r="X133" s="42"/>
      <c r="Y133" s="32"/>
      <c r="Z133" s="32"/>
      <c r="AA133" s="32"/>
      <c r="AB133" s="32"/>
    </row>
    <row r="134" spans="2:28" x14ac:dyDescent="0.25">
      <c r="B134" s="32"/>
      <c r="C134" s="44"/>
      <c r="D134" s="42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2"/>
      <c r="V134" s="42"/>
      <c r="W134" s="43"/>
      <c r="X134" s="42"/>
    </row>
    <row r="135" spans="2:28" x14ac:dyDescent="0.25">
      <c r="B135" s="54"/>
      <c r="C135" s="44"/>
      <c r="D135" s="42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2"/>
      <c r="V135" s="42"/>
      <c r="W135" s="43"/>
      <c r="X135" s="42"/>
    </row>
    <row r="136" spans="2:28" x14ac:dyDescent="0.25">
      <c r="C136" s="44"/>
      <c r="D136" s="4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7"/>
      <c r="V136" s="37"/>
      <c r="W136" s="38"/>
      <c r="X136" s="37"/>
    </row>
    <row r="137" spans="2:28" x14ac:dyDescent="0.25">
      <c r="C137" s="44"/>
      <c r="D137" s="4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7"/>
      <c r="V137" s="37"/>
      <c r="W137" s="38"/>
      <c r="X137" s="37"/>
    </row>
    <row r="138" spans="2:28" x14ac:dyDescent="0.25">
      <c r="C138" s="44"/>
      <c r="D138" s="4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7"/>
      <c r="V138" s="37"/>
      <c r="W138" s="38"/>
      <c r="X138" s="37"/>
    </row>
    <row r="139" spans="2:28" x14ac:dyDescent="0.25">
      <c r="C139" s="39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7"/>
      <c r="V139" s="37"/>
      <c r="W139" s="38"/>
      <c r="X139" s="37"/>
    </row>
    <row r="140" spans="2:28" x14ac:dyDescent="0.25">
      <c r="C140" s="44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7"/>
      <c r="V140" s="37"/>
      <c r="W140" s="38"/>
      <c r="X140" s="37"/>
    </row>
    <row r="141" spans="2:28" x14ac:dyDescent="0.25">
      <c r="C141" s="39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2"/>
      <c r="V141" s="32"/>
      <c r="W141" s="38"/>
      <c r="X141" s="32"/>
    </row>
    <row r="142" spans="2:28" x14ac:dyDescent="0.25">
      <c r="C142" s="39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7"/>
      <c r="V142" s="37"/>
      <c r="W142" s="38"/>
      <c r="X142" s="37"/>
    </row>
    <row r="143" spans="2:28" x14ac:dyDescent="0.25">
      <c r="B143" s="32"/>
      <c r="C143" s="39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2"/>
      <c r="V143" s="32"/>
      <c r="W143" s="38"/>
      <c r="X143" s="32"/>
    </row>
    <row r="144" spans="2:28" x14ac:dyDescent="0.25">
      <c r="B144" s="32"/>
      <c r="C144" s="39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2"/>
      <c r="V144" s="32"/>
      <c r="W144" s="38"/>
      <c r="X144" s="32"/>
    </row>
    <row r="145" spans="2:24" x14ac:dyDescent="0.25">
      <c r="B145" s="32"/>
      <c r="C145" s="39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48"/>
      <c r="V145" s="48"/>
      <c r="W145" s="38"/>
      <c r="X145" s="48"/>
    </row>
    <row r="146" spans="2:24" x14ac:dyDescent="0.25">
      <c r="B146" s="32"/>
      <c r="C146" s="39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49"/>
      <c r="V146" s="49"/>
      <c r="W146" s="38"/>
      <c r="X146" s="49"/>
    </row>
    <row r="147" spans="2:24" x14ac:dyDescent="0.25">
      <c r="C147" s="39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2"/>
      <c r="V147" s="32"/>
      <c r="W147" s="38"/>
      <c r="X147" s="32"/>
    </row>
    <row r="148" spans="2:24" x14ac:dyDescent="0.25">
      <c r="C148" s="39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2"/>
      <c r="V148" s="32"/>
      <c r="W148" s="38"/>
      <c r="X148" s="32"/>
    </row>
    <row r="149" spans="2:24" x14ac:dyDescent="0.25">
      <c r="C149" s="39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2"/>
      <c r="V149" s="32"/>
      <c r="W149" s="38"/>
      <c r="X149" s="32"/>
    </row>
    <row r="150" spans="2:24" x14ac:dyDescent="0.25">
      <c r="C150" s="39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2"/>
      <c r="V150" s="32"/>
      <c r="W150" s="38"/>
      <c r="X150" s="32"/>
    </row>
    <row r="151" spans="2:24" x14ac:dyDescent="0.25">
      <c r="C151" s="39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2"/>
      <c r="V151" s="32"/>
      <c r="W151" s="38"/>
      <c r="X151" s="32"/>
    </row>
    <row r="152" spans="2:24" x14ac:dyDescent="0.25">
      <c r="C152" s="39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2"/>
      <c r="V152" s="32"/>
      <c r="W152" s="38"/>
      <c r="X152" s="32"/>
    </row>
    <row r="153" spans="2:24" x14ac:dyDescent="0.25">
      <c r="C153" s="39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2"/>
      <c r="V153" s="32"/>
      <c r="W153" s="38"/>
      <c r="X153" s="32"/>
    </row>
    <row r="154" spans="2:24" x14ac:dyDescent="0.25">
      <c r="C154" s="39"/>
      <c r="D154" s="32"/>
      <c r="E154" s="33"/>
      <c r="F154" s="33"/>
      <c r="G154" s="33"/>
      <c r="H154" s="33"/>
      <c r="I154" s="33"/>
      <c r="J154" s="33"/>
      <c r="K154" s="33"/>
      <c r="L154" s="33">
        <v>3003000</v>
      </c>
      <c r="M154" s="33"/>
      <c r="N154" s="33"/>
      <c r="O154" s="33"/>
      <c r="P154" s="33"/>
      <c r="Q154" s="33"/>
      <c r="R154" s="33"/>
      <c r="S154" s="33"/>
      <c r="T154" s="33"/>
      <c r="U154" s="32"/>
      <c r="V154" s="32"/>
      <c r="W154" s="38"/>
      <c r="X154" s="32"/>
    </row>
    <row r="155" spans="2:24" x14ac:dyDescent="0.25">
      <c r="C155" s="44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2"/>
      <c r="V155" s="32"/>
      <c r="W155" s="38"/>
      <c r="X155" s="32"/>
    </row>
    <row r="156" spans="2:24" x14ac:dyDescent="0.25">
      <c r="C156" s="44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2"/>
      <c r="V156" s="32"/>
      <c r="W156" s="38"/>
      <c r="X156" s="32"/>
    </row>
    <row r="157" spans="2:24" x14ac:dyDescent="0.25">
      <c r="C157" s="44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2"/>
      <c r="V157" s="32"/>
      <c r="W157" s="38"/>
      <c r="X157" s="32"/>
    </row>
    <row r="158" spans="2:24" x14ac:dyDescent="0.25">
      <c r="C158" s="44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2"/>
      <c r="V158" s="32"/>
      <c r="W158" s="38"/>
      <c r="X158" s="32"/>
    </row>
    <row r="159" spans="2:24" x14ac:dyDescent="0.25">
      <c r="C159" s="39">
        <v>42614840</v>
      </c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>
        <v>412608</v>
      </c>
      <c r="U159" s="32"/>
      <c r="V159" s="32"/>
      <c r="W159" s="38"/>
      <c r="X159" s="32"/>
    </row>
    <row r="160" spans="2:24" x14ac:dyDescent="0.25">
      <c r="C160" s="39">
        <v>9675182</v>
      </c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>
        <v>1880000</v>
      </c>
      <c r="U160" s="32"/>
      <c r="V160" s="32"/>
      <c r="W160" s="38"/>
      <c r="X160" s="32"/>
    </row>
    <row r="161" spans="3:24" x14ac:dyDescent="0.25">
      <c r="C161" s="39">
        <v>17903600</v>
      </c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2"/>
      <c r="V161" s="32"/>
      <c r="W161" s="38"/>
      <c r="X161" s="32"/>
    </row>
    <row r="162" spans="3:24" x14ac:dyDescent="0.25">
      <c r="C162" s="39">
        <f>SUM(C159:C161)</f>
        <v>70193622</v>
      </c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2"/>
      <c r="V162" s="32"/>
      <c r="W162" s="38"/>
      <c r="X162" s="32"/>
    </row>
    <row r="163" spans="3:24" x14ac:dyDescent="0.25">
      <c r="C163" s="39">
        <v>400000</v>
      </c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2"/>
      <c r="V163" s="32"/>
      <c r="W163" s="38"/>
      <c r="X163" s="32"/>
    </row>
    <row r="164" spans="3:24" x14ac:dyDescent="0.25">
      <c r="C164" s="39">
        <f>+C162+C163</f>
        <v>70593622</v>
      </c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2"/>
      <c r="V164" s="32"/>
      <c r="W164" s="38"/>
      <c r="X164" s="32"/>
    </row>
    <row r="167" spans="3:24" x14ac:dyDescent="0.25">
      <c r="C167" s="31">
        <v>64000000</v>
      </c>
    </row>
    <row r="168" spans="3:24" x14ac:dyDescent="0.25">
      <c r="C168" s="31">
        <v>11000000</v>
      </c>
    </row>
    <row r="169" spans="3:24" x14ac:dyDescent="0.25">
      <c r="C169" s="31">
        <f>+C167+C168</f>
        <v>75000000</v>
      </c>
    </row>
    <row r="173" spans="3:24" x14ac:dyDescent="0.25">
      <c r="C173" s="31">
        <v>2745000</v>
      </c>
    </row>
    <row r="174" spans="3:24" x14ac:dyDescent="0.25">
      <c r="C174" s="31">
        <v>3185000</v>
      </c>
    </row>
    <row r="175" spans="3:24" x14ac:dyDescent="0.25">
      <c r="C175" s="31">
        <v>1080000</v>
      </c>
    </row>
    <row r="176" spans="3:24" x14ac:dyDescent="0.25">
      <c r="C176" s="31">
        <v>4850100</v>
      </c>
    </row>
    <row r="177" spans="3:3" x14ac:dyDescent="0.25">
      <c r="C177" s="31">
        <v>5027500</v>
      </c>
    </row>
    <row r="178" spans="3:3" x14ac:dyDescent="0.25">
      <c r="C178" s="31">
        <v>4566000</v>
      </c>
    </row>
    <row r="179" spans="3:3" x14ac:dyDescent="0.25">
      <c r="C179" s="31">
        <v>1050000</v>
      </c>
    </row>
    <row r="180" spans="3:3" x14ac:dyDescent="0.25">
      <c r="C180" s="31">
        <v>3877333</v>
      </c>
    </row>
    <row r="181" spans="3:3" x14ac:dyDescent="0.25">
      <c r="C181" s="31">
        <v>6732440</v>
      </c>
    </row>
    <row r="182" spans="3:3" x14ac:dyDescent="0.25">
      <c r="C182" s="31">
        <v>3460000</v>
      </c>
    </row>
    <row r="183" spans="3:3" x14ac:dyDescent="0.25">
      <c r="C183" s="31">
        <v>588800</v>
      </c>
    </row>
    <row r="184" spans="3:3" x14ac:dyDescent="0.25">
      <c r="C184" s="31">
        <v>1868000</v>
      </c>
    </row>
    <row r="185" spans="3:3" x14ac:dyDescent="0.25">
      <c r="C185" s="31">
        <v>10313000</v>
      </c>
    </row>
    <row r="186" spans="3:3" x14ac:dyDescent="0.25">
      <c r="C186" s="31">
        <v>3443800</v>
      </c>
    </row>
    <row r="187" spans="3:3" x14ac:dyDescent="0.25">
      <c r="C187" s="31">
        <v>8136400</v>
      </c>
    </row>
    <row r="188" spans="3:3" x14ac:dyDescent="0.25">
      <c r="C188" s="31">
        <v>9675183</v>
      </c>
    </row>
    <row r="189" spans="3:3" x14ac:dyDescent="0.25">
      <c r="C189" s="31">
        <f>SUM(C173:C188)</f>
        <v>70598556</v>
      </c>
    </row>
  </sheetData>
  <mergeCells count="7">
    <mergeCell ref="D132:X132"/>
    <mergeCell ref="C1:U1"/>
    <mergeCell ref="E2:K2"/>
    <mergeCell ref="L2:T2"/>
    <mergeCell ref="A3:A40"/>
    <mergeCell ref="A41:A91"/>
    <mergeCell ref="E131:Q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60A-01FF-441E-8C8B-DACDAB223728}">
  <dimension ref="A1:AB187"/>
  <sheetViews>
    <sheetView workbookViewId="0">
      <selection activeCell="H16" sqref="H16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85546875" style="67" bestFit="1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208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66"/>
      <c r="X3" s="20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>
        <v>315000</v>
      </c>
      <c r="K4" s="22">
        <f t="shared" ref="K4:K29" si="0">SUM(G4:I4)+J4</f>
        <v>5130000</v>
      </c>
      <c r="L4" s="22">
        <f t="shared" ref="L4:L40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43" si="2">SUM(L4:S4)</f>
        <v>452350</v>
      </c>
      <c r="U4" s="23">
        <f>+K4-T4</f>
        <v>4677650</v>
      </c>
      <c r="V4" s="23"/>
      <c r="W4" s="64"/>
      <c r="X4" s="23">
        <f t="shared" ref="X4:X67" si="3">U4+V4-W4</f>
        <v>4677650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18</v>
      </c>
      <c r="G5" s="22">
        <f t="shared" ref="G5:G8" si="4">+E5/30*F5</f>
        <v>2400000</v>
      </c>
      <c r="H5" s="22"/>
      <c r="I5" s="22">
        <v>800000</v>
      </c>
      <c r="J5" s="22">
        <v>1600000</v>
      </c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64"/>
      <c r="X7" s="23">
        <f t="shared" si="3"/>
        <v>4173490.29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>
        <v>2033000</v>
      </c>
      <c r="T8" s="22">
        <f t="shared" si="2"/>
        <v>2503971</v>
      </c>
      <c r="U8" s="23">
        <f>+K8-T8</f>
        <v>3981299</v>
      </c>
      <c r="V8" s="23"/>
      <c r="W8" s="64"/>
      <c r="X8" s="23">
        <f t="shared" si="3"/>
        <v>3981299</v>
      </c>
    </row>
    <row r="9" spans="1:24" ht="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" si="7">SUM(L10:S10)</f>
        <v>410000</v>
      </c>
      <c r="U10" s="23">
        <f>K10-T10</f>
        <v>4390000</v>
      </c>
      <c r="V10" s="23"/>
      <c r="W10" s="64"/>
      <c r="X10" s="23">
        <f t="shared" si="3"/>
        <v>4390000</v>
      </c>
    </row>
    <row r="11" spans="1:24" x14ac:dyDescent="0.25">
      <c r="A11" s="233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2"/>
        <v>456248</v>
      </c>
      <c r="U11" s="23">
        <f t="shared" ref="U11:U15" si="8">+K11-T11</f>
        <v>4679752</v>
      </c>
      <c r="V11" s="23"/>
      <c r="W11" s="64"/>
      <c r="X11" s="23">
        <f t="shared" si="3"/>
        <v>4679752</v>
      </c>
    </row>
    <row r="12" spans="1:24" ht="25.5" customHeight="1" x14ac:dyDescent="0.25">
      <c r="A12" s="233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64"/>
      <c r="X12" s="23">
        <f t="shared" si="3"/>
        <v>3942950</v>
      </c>
    </row>
    <row r="13" spans="1:24" x14ac:dyDescent="0.25">
      <c r="A13" s="233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64"/>
      <c r="X13" s="23">
        <f t="shared" si="3"/>
        <v>4092000</v>
      </c>
    </row>
    <row r="14" spans="1:24" x14ac:dyDescent="0.25">
      <c r="A14" s="233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64"/>
      <c r="X14" s="23">
        <f t="shared" si="3"/>
        <v>3790000</v>
      </c>
    </row>
    <row r="15" spans="1:24" x14ac:dyDescent="0.25">
      <c r="A15" s="233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64"/>
      <c r="X15" s="23">
        <f t="shared" si="3"/>
        <v>4904479</v>
      </c>
    </row>
    <row r="16" spans="1:24" ht="24" x14ac:dyDescent="0.25">
      <c r="A16" s="233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64"/>
      <c r="X16" s="23">
        <f t="shared" si="3"/>
        <v>5441248</v>
      </c>
    </row>
    <row r="17" spans="1:24" x14ac:dyDescent="0.25">
      <c r="A17" s="233"/>
      <c r="B17" s="26">
        <v>14</v>
      </c>
      <c r="C17" s="19" t="s">
        <v>56</v>
      </c>
      <c r="D17" s="20" t="s">
        <v>32</v>
      </c>
      <c r="E17" s="22">
        <v>5000000</v>
      </c>
      <c r="F17" s="22">
        <v>30</v>
      </c>
      <c r="G17" s="22">
        <f t="shared" ref="G17:G23" si="12">E17/30*F17</f>
        <v>5000000</v>
      </c>
      <c r="H17" s="22"/>
      <c r="I17" s="22"/>
      <c r="J17" s="22"/>
      <c r="K17" s="22">
        <f t="shared" si="0"/>
        <v>5000000</v>
      </c>
      <c r="L17" s="22">
        <f t="shared" si="1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22"/>
      <c r="T17" s="22">
        <f t="shared" si="2"/>
        <v>589833</v>
      </c>
      <c r="U17" s="23">
        <f>K17-T17</f>
        <v>4410167</v>
      </c>
      <c r="V17" s="23"/>
      <c r="W17" s="64"/>
      <c r="X17" s="23">
        <f t="shared" si="3"/>
        <v>4410167</v>
      </c>
    </row>
    <row r="18" spans="1:24" x14ac:dyDescent="0.25">
      <c r="A18" s="233"/>
      <c r="B18" s="26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si="1"/>
        <v>220000</v>
      </c>
      <c r="M18" s="22">
        <f t="shared" si="5"/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4">SUM(L18:S18)</f>
        <v>611000</v>
      </c>
      <c r="U18" s="23">
        <f>K18-T18</f>
        <v>5339000</v>
      </c>
      <c r="V18" s="23"/>
      <c r="W18" s="64"/>
      <c r="X18" s="23">
        <f t="shared" si="3"/>
        <v>5339000</v>
      </c>
    </row>
    <row r="19" spans="1:24" x14ac:dyDescent="0.25">
      <c r="A19" s="233"/>
      <c r="B19" s="26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64"/>
      <c r="X19" s="23">
        <f t="shared" si="3"/>
        <v>3995199</v>
      </c>
    </row>
    <row r="20" spans="1:24" x14ac:dyDescent="0.25">
      <c r="A20" s="233"/>
      <c r="B20" s="26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2"/>
        <v>391000.00000000006</v>
      </c>
      <c r="U20" s="23">
        <f>+K20-T20</f>
        <v>3609000.0000000005</v>
      </c>
      <c r="V20" s="23"/>
      <c r="W20" s="64"/>
      <c r="X20" s="23">
        <f t="shared" si="3"/>
        <v>3609000.0000000005</v>
      </c>
    </row>
    <row r="21" spans="1:24" ht="24" x14ac:dyDescent="0.25">
      <c r="A21" s="233"/>
      <c r="B21" s="26">
        <v>18</v>
      </c>
      <c r="C21" s="19" t="s">
        <v>203</v>
      </c>
      <c r="D21" s="20" t="s">
        <v>32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5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6">SUM(L21:S21)</f>
        <v>590000</v>
      </c>
      <c r="U21" s="23">
        <f>+K21-T21</f>
        <v>4410000</v>
      </c>
      <c r="V21" s="23"/>
      <c r="W21" s="64"/>
      <c r="X21" s="23">
        <f t="shared" si="3"/>
        <v>4410000</v>
      </c>
    </row>
    <row r="22" spans="1:24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2"/>
        <v>5031675</v>
      </c>
      <c r="H22" s="22"/>
      <c r="I22" s="22"/>
      <c r="J22" s="22"/>
      <c r="K22" s="22">
        <f t="shared" si="0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2"/>
        <v>596971.75</v>
      </c>
      <c r="U22" s="23">
        <f>K22-T22</f>
        <v>4434703.25</v>
      </c>
      <c r="V22" s="23"/>
      <c r="W22" s="64"/>
      <c r="X22" s="23">
        <f t="shared" si="3"/>
        <v>4434703.25</v>
      </c>
    </row>
    <row r="23" spans="1:24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64"/>
      <c r="X23" s="23">
        <f t="shared" si="3"/>
        <v>4296000</v>
      </c>
    </row>
    <row r="24" spans="1:24" x14ac:dyDescent="0.25">
      <c r="A24" s="233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5" si="17">+E24/30*F24</f>
        <v>4500000</v>
      </c>
      <c r="H24" s="22"/>
      <c r="I24" s="22"/>
      <c r="J24" s="22"/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64"/>
      <c r="X24" s="23">
        <f t="shared" si="3"/>
        <v>4022854</v>
      </c>
    </row>
    <row r="25" spans="1:24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64"/>
      <c r="X26" s="23">
        <f t="shared" si="3"/>
        <v>4420146</v>
      </c>
    </row>
    <row r="27" spans="1:24" ht="24" x14ac:dyDescent="0.25">
      <c r="A27" s="233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64"/>
      <c r="X27" s="23">
        <f t="shared" si="3"/>
        <v>3584143</v>
      </c>
    </row>
    <row r="28" spans="1:24" ht="24" x14ac:dyDescent="0.25">
      <c r="A28" s="233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>
        <v>315000</v>
      </c>
      <c r="K29" s="22">
        <f t="shared" si="0"/>
        <v>5130000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4120644</v>
      </c>
      <c r="V29" s="23"/>
      <c r="W29" s="64"/>
      <c r="X29" s="23">
        <f t="shared" si="3"/>
        <v>4120644</v>
      </c>
    </row>
    <row r="30" spans="1:24" ht="24" x14ac:dyDescent="0.25">
      <c r="A30" s="233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82</v>
      </c>
      <c r="D31" s="26" t="s">
        <v>32</v>
      </c>
      <c r="E31" s="22">
        <v>6900000</v>
      </c>
      <c r="F31" s="22">
        <v>23</v>
      </c>
      <c r="G31" s="22">
        <f t="shared" si="17"/>
        <v>5290000</v>
      </c>
      <c r="H31" s="22">
        <v>766705</v>
      </c>
      <c r="I31" s="22">
        <v>1500000</v>
      </c>
      <c r="J31" s="22">
        <v>460000</v>
      </c>
      <c r="K31" s="22">
        <f t="shared" si="19"/>
        <v>8016705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7050705</v>
      </c>
      <c r="V31" s="23"/>
      <c r="W31" s="64"/>
      <c r="X31" s="23">
        <f t="shared" si="3"/>
        <v>7050705</v>
      </c>
    </row>
    <row r="32" spans="1:24" x14ac:dyDescent="0.25">
      <c r="A32" s="233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7"/>
        <v>5000000</v>
      </c>
      <c r="H32" s="22"/>
      <c r="I32" s="22"/>
      <c r="J32" s="22"/>
      <c r="K32" s="22">
        <f t="shared" si="19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0">+K32-T32</f>
        <v>4410167</v>
      </c>
      <c r="V32" s="23"/>
      <c r="W32" s="64"/>
      <c r="X32" s="23">
        <f t="shared" si="3"/>
        <v>4410167</v>
      </c>
    </row>
    <row r="33" spans="1:24" x14ac:dyDescent="0.25">
      <c r="A33" s="233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7"/>
        <v>4000000.0000000005</v>
      </c>
      <c r="H33" s="22"/>
      <c r="I33" s="22"/>
      <c r="J33" s="22"/>
      <c r="K33" s="22">
        <f t="shared" si="19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520000</v>
      </c>
      <c r="T33" s="22">
        <f>SUM(L33:S33)</f>
        <v>880000</v>
      </c>
      <c r="U33" s="23">
        <f t="shared" si="20"/>
        <v>3120000.0000000005</v>
      </c>
      <c r="V33" s="23"/>
      <c r="W33" s="64"/>
      <c r="X33" s="23">
        <f t="shared" si="3"/>
        <v>3120000.0000000005</v>
      </c>
    </row>
    <row r="34" spans="1:24" ht="26.25" customHeight="1" x14ac:dyDescent="0.25">
      <c r="A34" s="233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7"/>
        <v>4500000</v>
      </c>
      <c r="H34" s="22"/>
      <c r="I34" s="22"/>
      <c r="J34" s="22"/>
      <c r="K34" s="22">
        <f t="shared" si="19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0"/>
        <v>3996000</v>
      </c>
      <c r="V34" s="23"/>
      <c r="W34" s="64"/>
      <c r="X34" s="23">
        <f t="shared" si="3"/>
        <v>3996000</v>
      </c>
    </row>
    <row r="35" spans="1:24" ht="26.25" customHeight="1" x14ac:dyDescent="0.25">
      <c r="A35" s="233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7"/>
        <v>4250000</v>
      </c>
      <c r="H35" s="22"/>
      <c r="I35" s="22"/>
      <c r="J35" s="22"/>
      <c r="K35" s="22">
        <f t="shared" ref="K35" si="21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2">SUM(L35:S35)</f>
        <v>420500</v>
      </c>
      <c r="U35" s="23">
        <f t="shared" si="20"/>
        <v>3829500</v>
      </c>
      <c r="V35" s="23"/>
      <c r="W35" s="64"/>
      <c r="X35" s="23">
        <f t="shared" si="3"/>
        <v>3829500</v>
      </c>
    </row>
    <row r="36" spans="1:24" ht="24" x14ac:dyDescent="0.25">
      <c r="A36" s="233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7"/>
        <v>3000000</v>
      </c>
      <c r="H36" s="22"/>
      <c r="I36" s="22"/>
      <c r="J36" s="22"/>
      <c r="K36" s="22">
        <f t="shared" si="19"/>
        <v>3000000</v>
      </c>
      <c r="L36" s="22">
        <f t="shared" si="1"/>
        <v>120000</v>
      </c>
      <c r="M36" s="22">
        <f t="shared" si="5"/>
        <v>150000</v>
      </c>
      <c r="N36" s="22"/>
      <c r="O36" s="22">
        <v>11900</v>
      </c>
      <c r="P36" s="22"/>
      <c r="Q36" s="22"/>
      <c r="R36" s="22"/>
      <c r="S36" s="22"/>
      <c r="T36" s="22">
        <f t="shared" si="2"/>
        <v>281900</v>
      </c>
      <c r="U36" s="23">
        <f t="shared" si="20"/>
        <v>2718100</v>
      </c>
      <c r="V36" s="23"/>
      <c r="W36" s="64"/>
      <c r="X36" s="23">
        <f t="shared" si="3"/>
        <v>2718100</v>
      </c>
    </row>
    <row r="37" spans="1:24" x14ac:dyDescent="0.25">
      <c r="A37" s="233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7"/>
        <v>4500000</v>
      </c>
      <c r="H37" s="22"/>
      <c r="I37" s="22">
        <v>300000</v>
      </c>
      <c r="J37" s="22"/>
      <c r="K37" s="22">
        <f t="shared" si="19"/>
        <v>4800000</v>
      </c>
      <c r="L37" s="22">
        <f t="shared" si="1"/>
        <v>180000</v>
      </c>
      <c r="M37" s="22">
        <f t="shared" si="5"/>
        <v>225000</v>
      </c>
      <c r="N37" s="22"/>
      <c r="O37" s="22">
        <v>59300</v>
      </c>
      <c r="P37" s="22">
        <v>8021</v>
      </c>
      <c r="Q37" s="22"/>
      <c r="R37" s="22"/>
      <c r="S37" s="22"/>
      <c r="T37" s="22">
        <f t="shared" si="2"/>
        <v>472321</v>
      </c>
      <c r="U37" s="23">
        <f t="shared" si="20"/>
        <v>4327679</v>
      </c>
      <c r="V37" s="23"/>
      <c r="W37" s="64"/>
      <c r="X37" s="23">
        <f t="shared" si="3"/>
        <v>4327679</v>
      </c>
    </row>
    <row r="38" spans="1:24" ht="30.75" customHeight="1" x14ac:dyDescent="0.25">
      <c r="A38" s="233"/>
      <c r="B38" s="26">
        <v>35</v>
      </c>
      <c r="C38" s="19" t="s">
        <v>94</v>
      </c>
      <c r="D38" s="20" t="s">
        <v>32</v>
      </c>
      <c r="E38" s="22">
        <v>4815000</v>
      </c>
      <c r="F38" s="22">
        <v>30</v>
      </c>
      <c r="G38" s="22">
        <f t="shared" si="17"/>
        <v>4815000</v>
      </c>
      <c r="H38" s="22"/>
      <c r="I38" s="22">
        <v>350000</v>
      </c>
      <c r="J38" s="22">
        <f>+E38-G38</f>
        <v>0</v>
      </c>
      <c r="K38" s="22">
        <f t="shared" si="19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64"/>
      <c r="X38" s="23">
        <f t="shared" si="3"/>
        <v>4642650</v>
      </c>
    </row>
    <row r="39" spans="1:24" x14ac:dyDescent="0.25">
      <c r="A39" s="233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7"/>
        <v>6900000</v>
      </c>
      <c r="H39" s="22"/>
      <c r="I39" s="22"/>
      <c r="J39" s="22"/>
      <c r="K39" s="22">
        <f t="shared" si="19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64"/>
      <c r="X39" s="23">
        <f t="shared" si="3"/>
        <v>6060000</v>
      </c>
    </row>
    <row r="40" spans="1:24" x14ac:dyDescent="0.25">
      <c r="A40" s="234"/>
      <c r="B40" s="26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7"/>
        <v>4000000.0000000005</v>
      </c>
      <c r="H40" s="22"/>
      <c r="I40" s="22"/>
      <c r="J40" s="22"/>
      <c r="K40" s="22">
        <f t="shared" si="19"/>
        <v>4000000.0000000005</v>
      </c>
      <c r="L40" s="22">
        <f t="shared" si="1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2"/>
        <v>391000.00000000006</v>
      </c>
      <c r="U40" s="23">
        <f>K40-T40</f>
        <v>3609000.0000000005</v>
      </c>
      <c r="V40" s="23"/>
      <c r="W40" s="64"/>
      <c r="X40" s="23">
        <f t="shared" si="3"/>
        <v>3609000.0000000005</v>
      </c>
    </row>
    <row r="41" spans="1:24" x14ac:dyDescent="0.25">
      <c r="A41" s="235" t="s">
        <v>99</v>
      </c>
      <c r="B41" s="26">
        <v>38</v>
      </c>
      <c r="C41" s="19" t="s">
        <v>100</v>
      </c>
      <c r="D41" s="20" t="s">
        <v>32</v>
      </c>
      <c r="E41" s="22">
        <v>3000000</v>
      </c>
      <c r="F41" s="22">
        <v>19</v>
      </c>
      <c r="G41" s="22">
        <f t="shared" si="17"/>
        <v>1900000</v>
      </c>
      <c r="H41" s="22"/>
      <c r="I41" s="22">
        <v>250000</v>
      </c>
      <c r="J41" s="22">
        <f>+E41-G41</f>
        <v>1100000</v>
      </c>
      <c r="K41" s="22">
        <f t="shared" si="19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64"/>
      <c r="X41" s="23">
        <f t="shared" si="3"/>
        <v>2663711</v>
      </c>
    </row>
    <row r="42" spans="1:24" ht="25.5" customHeight="1" x14ac:dyDescent="0.25">
      <c r="A42" s="235"/>
      <c r="B42" s="26">
        <v>39</v>
      </c>
      <c r="C42" s="19" t="s">
        <v>103</v>
      </c>
      <c r="D42" s="20" t="s">
        <v>32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/>
      <c r="K42" s="22">
        <f t="shared" si="19"/>
        <v>689455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689455</v>
      </c>
      <c r="V42" s="23"/>
      <c r="W42" s="64"/>
      <c r="X42" s="23">
        <f t="shared" si="3"/>
        <v>689455</v>
      </c>
    </row>
    <row r="43" spans="1:24" x14ac:dyDescent="0.25">
      <c r="A43" s="235"/>
      <c r="B43" s="26">
        <v>40</v>
      </c>
      <c r="C43" s="30" t="s">
        <v>180</v>
      </c>
      <c r="D43" s="26" t="s">
        <v>32</v>
      </c>
      <c r="E43" s="22">
        <v>1200000</v>
      </c>
      <c r="F43" s="22">
        <v>30</v>
      </c>
      <c r="G43" s="22">
        <f t="shared" ref="G43" si="23">+E43/30*F43</f>
        <v>1200000</v>
      </c>
      <c r="H43" s="22">
        <f>+(77700/30)*F43</f>
        <v>77700</v>
      </c>
      <c r="I43" s="22"/>
      <c r="J43" s="22"/>
      <c r="K43" s="22">
        <f t="shared" ref="K43" si="24">SUM(G43:I43)+J43</f>
        <v>1277700</v>
      </c>
      <c r="L43" s="22">
        <f t="shared" ref="L43:L45" si="25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64"/>
      <c r="X43" s="23">
        <f t="shared" si="3"/>
        <v>1181700</v>
      </c>
    </row>
    <row r="44" spans="1:24" ht="18" customHeight="1" x14ac:dyDescent="0.25">
      <c r="A44" s="235"/>
      <c r="B44" s="26">
        <v>41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7"/>
        <v>689455</v>
      </c>
      <c r="H44" s="22">
        <v>77700</v>
      </c>
      <c r="I44" s="22"/>
      <c r="J44" s="22"/>
      <c r="K44" s="22">
        <f t="shared" si="19"/>
        <v>767155</v>
      </c>
      <c r="L44" s="22">
        <f t="shared" si="25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4" si="26">SUM(L44:S44)</f>
        <v>55156.4</v>
      </c>
      <c r="U44" s="23">
        <f>+K44-T44</f>
        <v>711998.6</v>
      </c>
      <c r="V44" s="23"/>
      <c r="W44" s="64"/>
      <c r="X44" s="23">
        <f t="shared" si="3"/>
        <v>711998.6</v>
      </c>
    </row>
    <row r="45" spans="1:24" x14ac:dyDescent="0.25">
      <c r="A45" s="235"/>
      <c r="B45" s="26">
        <v>42</v>
      </c>
      <c r="C45" s="30" t="s">
        <v>181</v>
      </c>
      <c r="D45" s="26" t="s">
        <v>32</v>
      </c>
      <c r="E45" s="22">
        <v>1200000</v>
      </c>
      <c r="F45" s="22">
        <v>30</v>
      </c>
      <c r="G45" s="22">
        <f t="shared" si="17"/>
        <v>1200000</v>
      </c>
      <c r="H45" s="22">
        <f>+(77700/30)*F45</f>
        <v>77700</v>
      </c>
      <c r="I45" s="22"/>
      <c r="J45" s="22"/>
      <c r="K45" s="22">
        <f t="shared" ref="K45" si="27">SUM(G45:I45)+J45</f>
        <v>1277700</v>
      </c>
      <c r="L45" s="22">
        <f t="shared" si="25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6"/>
        <v>96000</v>
      </c>
      <c r="U45" s="23">
        <f>K45-T45</f>
        <v>1181700</v>
      </c>
      <c r="V45" s="23"/>
      <c r="W45" s="64"/>
      <c r="X45" s="23">
        <f t="shared" si="3"/>
        <v>1181700</v>
      </c>
    </row>
    <row r="46" spans="1:24" x14ac:dyDescent="0.25">
      <c r="A46" s="235"/>
      <c r="B46" s="26">
        <v>43</v>
      </c>
      <c r="C46" s="19" t="s">
        <v>104</v>
      </c>
      <c r="D46" s="20" t="s">
        <v>105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19"/>
        <v>1177700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/>
      <c r="T46" s="22">
        <f>SUM(L46:S46)</f>
        <v>88000</v>
      </c>
      <c r="U46" s="23">
        <f>+K46-T46</f>
        <v>1089700</v>
      </c>
      <c r="V46" s="23"/>
      <c r="W46" s="64"/>
      <c r="X46" s="23">
        <f t="shared" si="3"/>
        <v>1089700</v>
      </c>
    </row>
    <row r="47" spans="1:24" ht="21.75" customHeight="1" x14ac:dyDescent="0.25">
      <c r="A47" s="235"/>
      <c r="B47" s="26">
        <v>44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f t="shared" ref="L47:L53" si="28">+G47*4%</f>
        <v>44000</v>
      </c>
      <c r="M47" s="22">
        <f t="shared" ref="M47:M53" si="29">+G47*4%</f>
        <v>44000</v>
      </c>
      <c r="N47" s="22"/>
      <c r="O47" s="22">
        <v>40100</v>
      </c>
      <c r="P47" s="22">
        <v>0</v>
      </c>
      <c r="Q47" s="22"/>
      <c r="R47" s="22"/>
      <c r="S47" s="22"/>
      <c r="T47" s="22">
        <f t="shared" si="26"/>
        <v>128100</v>
      </c>
      <c r="U47" s="23">
        <f t="shared" ref="U47:U53" si="30">+K47-T47</f>
        <v>1049600</v>
      </c>
      <c r="V47" s="23"/>
      <c r="W47" s="64"/>
      <c r="X47" s="23">
        <f t="shared" si="3"/>
        <v>1049600</v>
      </c>
    </row>
    <row r="48" spans="1:24" x14ac:dyDescent="0.25">
      <c r="A48" s="235"/>
      <c r="B48" s="26">
        <v>45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" si="31">+E48/30*F48</f>
        <v>689454</v>
      </c>
      <c r="H48" s="22">
        <v>77700</v>
      </c>
      <c r="I48" s="22"/>
      <c r="J48" s="22"/>
      <c r="K48" s="22">
        <f t="shared" ref="K48" si="32">SUM(G48:I48)+J48</f>
        <v>767154</v>
      </c>
      <c r="L48" s="22">
        <f t="shared" si="28"/>
        <v>27578.16</v>
      </c>
      <c r="M48" s="22">
        <f t="shared" si="29"/>
        <v>27578.16</v>
      </c>
      <c r="N48" s="22"/>
      <c r="O48" s="22"/>
      <c r="P48" s="25"/>
      <c r="Q48" s="22"/>
      <c r="R48" s="22"/>
      <c r="S48" s="22"/>
      <c r="T48" s="22">
        <f t="shared" si="26"/>
        <v>55156.32</v>
      </c>
      <c r="U48" s="23">
        <f t="shared" si="30"/>
        <v>711997.68</v>
      </c>
      <c r="V48" s="23"/>
      <c r="W48" s="64"/>
      <c r="X48" s="23">
        <f t="shared" si="3"/>
        <v>711997.68</v>
      </c>
    </row>
    <row r="49" spans="1:27" ht="17.25" customHeight="1" x14ac:dyDescent="0.25">
      <c r="A49" s="235"/>
      <c r="B49" s="26">
        <v>46</v>
      </c>
      <c r="C49" s="19" t="s">
        <v>195</v>
      </c>
      <c r="D49" s="20" t="s">
        <v>32</v>
      </c>
      <c r="E49" s="22">
        <v>3500000</v>
      </c>
      <c r="F49" s="22">
        <v>30</v>
      </c>
      <c r="G49" s="22">
        <f>(E49/30*F49)</f>
        <v>3500000</v>
      </c>
      <c r="H49" s="22"/>
      <c r="I49" s="22"/>
      <c r="J49" s="22"/>
      <c r="K49" s="22">
        <f t="shared" ref="K49" si="33">SUM(G49:I49)+J49</f>
        <v>3500000</v>
      </c>
      <c r="L49" s="22">
        <f t="shared" si="28"/>
        <v>140000</v>
      </c>
      <c r="M49" s="22">
        <f>+G49*5%</f>
        <v>175000</v>
      </c>
      <c r="N49" s="22"/>
      <c r="O49" s="22"/>
      <c r="P49" s="22">
        <v>0</v>
      </c>
      <c r="Q49" s="22"/>
      <c r="R49" s="22"/>
      <c r="S49" s="22"/>
      <c r="T49" s="22">
        <f t="shared" ref="T49" si="34">SUM(L49:S49)</f>
        <v>315000</v>
      </c>
      <c r="U49" s="23">
        <f t="shared" si="30"/>
        <v>3185000</v>
      </c>
      <c r="V49" s="23"/>
      <c r="W49" s="64"/>
      <c r="X49" s="23">
        <f t="shared" si="3"/>
        <v>3185000</v>
      </c>
    </row>
    <row r="50" spans="1:27" ht="17.25" customHeight="1" x14ac:dyDescent="0.25">
      <c r="A50" s="235"/>
      <c r="B50" s="26">
        <v>47</v>
      </c>
      <c r="C50" s="19" t="s">
        <v>107</v>
      </c>
      <c r="D50" s="20" t="s">
        <v>32</v>
      </c>
      <c r="E50" s="22">
        <v>1400000</v>
      </c>
      <c r="F50" s="22">
        <v>30</v>
      </c>
      <c r="G50" s="22">
        <f>(E50/30*F50)</f>
        <v>1400000</v>
      </c>
      <c r="H50" s="22"/>
      <c r="I50" s="22"/>
      <c r="J50" s="22"/>
      <c r="K50" s="22">
        <f t="shared" si="19"/>
        <v>1400000</v>
      </c>
      <c r="L50" s="22">
        <f>+E50*4%</f>
        <v>56000</v>
      </c>
      <c r="M50" s="22">
        <v>56000</v>
      </c>
      <c r="N50" s="22"/>
      <c r="O50" s="22"/>
      <c r="P50" s="22">
        <v>0</v>
      </c>
      <c r="Q50" s="22"/>
      <c r="R50" s="22"/>
      <c r="S50" s="22"/>
      <c r="T50" s="22">
        <f t="shared" si="26"/>
        <v>112000</v>
      </c>
      <c r="U50" s="23">
        <f t="shared" si="30"/>
        <v>1288000</v>
      </c>
      <c r="V50" s="23"/>
      <c r="W50" s="64"/>
      <c r="X50" s="23">
        <f t="shared" si="3"/>
        <v>1288000</v>
      </c>
    </row>
    <row r="51" spans="1:27" ht="17.25" customHeight="1" x14ac:dyDescent="0.25">
      <c r="A51" s="235"/>
      <c r="B51" s="26">
        <v>48</v>
      </c>
      <c r="C51" s="19" t="s">
        <v>201</v>
      </c>
      <c r="D51" s="20" t="s">
        <v>32</v>
      </c>
      <c r="E51" s="22">
        <v>1000000</v>
      </c>
      <c r="F51" s="22">
        <v>30</v>
      </c>
      <c r="G51" s="22">
        <f>E51/30*F51</f>
        <v>1000000.0000000001</v>
      </c>
      <c r="H51" s="22">
        <f>+(77700/30)*30</f>
        <v>77700</v>
      </c>
      <c r="I51" s="22"/>
      <c r="J51" s="22"/>
      <c r="K51" s="22">
        <f t="shared" ref="K51" si="35">SUM(G51:I51)+J51</f>
        <v>1077700</v>
      </c>
      <c r="L51" s="22">
        <f t="shared" ref="L51:L52" si="36">+G51*4%</f>
        <v>40000.000000000007</v>
      </c>
      <c r="M51" s="22">
        <f t="shared" ref="M51:M52" si="37">+G51*4%</f>
        <v>40000.000000000007</v>
      </c>
      <c r="N51" s="22"/>
      <c r="O51" s="22">
        <v>31500</v>
      </c>
      <c r="P51" s="22">
        <v>0</v>
      </c>
      <c r="Q51" s="22"/>
      <c r="R51" s="22"/>
      <c r="S51" s="22"/>
      <c r="T51" s="22">
        <f t="shared" si="26"/>
        <v>111500.00000000001</v>
      </c>
      <c r="U51" s="23">
        <f t="shared" si="30"/>
        <v>966200</v>
      </c>
      <c r="V51" s="23"/>
      <c r="W51" s="64"/>
      <c r="X51" s="23">
        <f t="shared" si="3"/>
        <v>966200</v>
      </c>
    </row>
    <row r="52" spans="1:27" ht="17.25" customHeight="1" x14ac:dyDescent="0.25">
      <c r="A52" s="235"/>
      <c r="B52" s="26">
        <v>49</v>
      </c>
      <c r="C52" s="19" t="s">
        <v>209</v>
      </c>
      <c r="D52" s="20" t="s">
        <v>32</v>
      </c>
      <c r="E52" s="22">
        <v>689455</v>
      </c>
      <c r="F52" s="22">
        <v>15</v>
      </c>
      <c r="G52" s="22">
        <f>E52/30*F52</f>
        <v>344727.5</v>
      </c>
      <c r="H52" s="22"/>
      <c r="I52" s="22"/>
      <c r="J52" s="22"/>
      <c r="K52" s="22">
        <f t="shared" ref="K52" si="38">SUM(G52:I52)+J52</f>
        <v>344727.5</v>
      </c>
      <c r="L52" s="22">
        <f t="shared" si="36"/>
        <v>13789.1</v>
      </c>
      <c r="M52" s="22">
        <f t="shared" si="37"/>
        <v>13789.1</v>
      </c>
      <c r="N52" s="22"/>
      <c r="O52" s="22"/>
      <c r="P52" s="22">
        <v>1</v>
      </c>
      <c r="Q52" s="22"/>
      <c r="R52" s="22"/>
      <c r="S52" s="22"/>
      <c r="T52" s="22">
        <f t="shared" ref="T52" si="39">SUM(L52:S52)</f>
        <v>27579.200000000001</v>
      </c>
      <c r="U52" s="23">
        <f t="shared" si="30"/>
        <v>317148.3</v>
      </c>
      <c r="V52" s="23"/>
      <c r="W52" s="64"/>
      <c r="X52" s="23"/>
    </row>
    <row r="53" spans="1:27" ht="24" x14ac:dyDescent="0.25">
      <c r="A53" s="235"/>
      <c r="B53" s="26">
        <v>50</v>
      </c>
      <c r="C53" s="19" t="s">
        <v>109</v>
      </c>
      <c r="D53" s="20" t="s">
        <v>32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9"/>
        <v>1277700</v>
      </c>
      <c r="L53" s="22">
        <f t="shared" si="28"/>
        <v>48000</v>
      </c>
      <c r="M53" s="22">
        <f t="shared" si="29"/>
        <v>48000</v>
      </c>
      <c r="N53" s="22"/>
      <c r="O53" s="22"/>
      <c r="P53" s="22">
        <v>0</v>
      </c>
      <c r="Q53" s="22"/>
      <c r="R53" s="22"/>
      <c r="S53" s="22"/>
      <c r="T53" s="22">
        <f t="shared" si="26"/>
        <v>96000</v>
      </c>
      <c r="U53" s="23">
        <f t="shared" si="30"/>
        <v>1181700</v>
      </c>
      <c r="V53" s="23"/>
      <c r="W53" s="64"/>
      <c r="X53" s="23">
        <f t="shared" si="3"/>
        <v>1181700</v>
      </c>
    </row>
    <row r="54" spans="1:27" x14ac:dyDescent="0.25">
      <c r="A54" s="235"/>
      <c r="B54" s="26">
        <v>51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9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6"/>
        <v>200000</v>
      </c>
      <c r="U54" s="23">
        <f t="shared" ref="U54:U62" si="40">K54-T54</f>
        <v>2300000</v>
      </c>
      <c r="V54" s="23"/>
      <c r="W54" s="64"/>
      <c r="X54" s="23">
        <f t="shared" si="3"/>
        <v>2300000</v>
      </c>
    </row>
    <row r="55" spans="1:27" x14ac:dyDescent="0.25">
      <c r="A55" s="235"/>
      <c r="B55" s="26">
        <v>52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>
        <f>+E55-G55</f>
        <v>0</v>
      </c>
      <c r="K55" s="22">
        <f t="shared" si="19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6"/>
        <v>966228</v>
      </c>
      <c r="U55" s="23">
        <f t="shared" si="40"/>
        <v>2033772</v>
      </c>
      <c r="V55" s="23"/>
      <c r="W55" s="64"/>
      <c r="X55" s="23">
        <f t="shared" si="3"/>
        <v>2033772</v>
      </c>
    </row>
    <row r="56" spans="1:27" x14ac:dyDescent="0.25">
      <c r="A56" s="235"/>
      <c r="B56" s="26">
        <v>53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41">+E56/30*F56</f>
        <v>344727</v>
      </c>
      <c r="H56" s="22"/>
      <c r="I56" s="22"/>
      <c r="J56" s="22"/>
      <c r="K56" s="22">
        <f t="shared" si="19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6"/>
        <v>0</v>
      </c>
      <c r="U56" s="23">
        <f t="shared" si="40"/>
        <v>344727</v>
      </c>
      <c r="V56" s="23"/>
      <c r="W56" s="64"/>
      <c r="X56" s="23">
        <f t="shared" si="3"/>
        <v>344727</v>
      </c>
    </row>
    <row r="57" spans="1:27" ht="17.25" customHeight="1" x14ac:dyDescent="0.25">
      <c r="A57" s="235"/>
      <c r="B57" s="26">
        <v>54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>
        <f>+E57-G57</f>
        <v>0</v>
      </c>
      <c r="K57" s="22">
        <f t="shared" si="19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6"/>
        <v>592019</v>
      </c>
      <c r="U57" s="23">
        <f t="shared" si="40"/>
        <v>2407981</v>
      </c>
      <c r="V57" s="23"/>
      <c r="W57" s="64"/>
      <c r="X57" s="23">
        <f t="shared" si="3"/>
        <v>2407981</v>
      </c>
    </row>
    <row r="58" spans="1:27" ht="17.25" customHeight="1" x14ac:dyDescent="0.25">
      <c r="A58" s="235"/>
      <c r="B58" s="26">
        <v>55</v>
      </c>
      <c r="C58" s="19" t="s">
        <v>204</v>
      </c>
      <c r="D58" s="20" t="s">
        <v>32</v>
      </c>
      <c r="E58" s="22">
        <v>689455</v>
      </c>
      <c r="F58" s="22">
        <v>30</v>
      </c>
      <c r="G58" s="22">
        <f>E58/30*F58</f>
        <v>689455</v>
      </c>
      <c r="H58" s="22">
        <f>+(77700/30)*F58</f>
        <v>77700</v>
      </c>
      <c r="I58" s="22"/>
      <c r="J58" s="22"/>
      <c r="K58" s="22">
        <f t="shared" ref="K58" si="42">SUM(G58:I58)+J58</f>
        <v>767155</v>
      </c>
      <c r="L58" s="22">
        <f t="shared" ref="L58:L61" si="43">+G58*4%</f>
        <v>27578.2</v>
      </c>
      <c r="M58" s="22">
        <f>+G58*4%</f>
        <v>27578.2</v>
      </c>
      <c r="N58" s="22"/>
      <c r="O58" s="22"/>
      <c r="P58" s="22"/>
      <c r="Q58" s="22"/>
      <c r="R58" s="22"/>
      <c r="S58" s="22"/>
      <c r="T58" s="22">
        <f t="shared" si="26"/>
        <v>55156.4</v>
      </c>
      <c r="U58" s="23">
        <f t="shared" si="40"/>
        <v>711998.6</v>
      </c>
      <c r="V58" s="23"/>
      <c r="W58" s="64"/>
      <c r="X58" s="23">
        <f t="shared" si="3"/>
        <v>711998.6</v>
      </c>
    </row>
    <row r="59" spans="1:27" ht="15.75" customHeight="1" x14ac:dyDescent="0.25">
      <c r="A59" s="235"/>
      <c r="B59" s="26">
        <v>56</v>
      </c>
      <c r="C59" s="19" t="s">
        <v>118</v>
      </c>
      <c r="D59" s="20" t="s">
        <v>32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9"/>
        <v>2000000.0000000002</v>
      </c>
      <c r="L59" s="22">
        <f t="shared" si="43"/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6"/>
        <v>414624</v>
      </c>
      <c r="U59" s="23">
        <f t="shared" si="40"/>
        <v>1585376.0000000002</v>
      </c>
      <c r="V59" s="23"/>
      <c r="W59" s="64"/>
      <c r="X59" s="23">
        <f t="shared" si="3"/>
        <v>1585376.0000000002</v>
      </c>
      <c r="AA59" s="65">
        <f>1196000+644000</f>
        <v>1840000</v>
      </c>
    </row>
    <row r="60" spans="1:27" ht="15.75" customHeight="1" x14ac:dyDescent="0.25">
      <c r="A60" s="235"/>
      <c r="B60" s="26">
        <v>57</v>
      </c>
      <c r="C60" s="19" t="s">
        <v>210</v>
      </c>
      <c r="D60" s="20" t="s">
        <v>32</v>
      </c>
      <c r="E60" s="22">
        <v>2000000</v>
      </c>
      <c r="F60" s="22">
        <v>26</v>
      </c>
      <c r="G60" s="22">
        <f>(E60/30*F60)</f>
        <v>1733333.3333333335</v>
      </c>
      <c r="H60" s="22"/>
      <c r="I60" s="22"/>
      <c r="J60" s="22">
        <v>90000</v>
      </c>
      <c r="K60" s="22">
        <f t="shared" ref="K60" si="44">SUM(G60:I60)+J60</f>
        <v>1823333.3333333335</v>
      </c>
      <c r="L60" s="22">
        <f t="shared" si="43"/>
        <v>69333.333333333343</v>
      </c>
      <c r="M60" s="22">
        <f>+G60*4%</f>
        <v>69333.333333333343</v>
      </c>
      <c r="N60" s="22"/>
      <c r="O60" s="22"/>
      <c r="P60" s="22">
        <v>0</v>
      </c>
      <c r="Q60" s="22"/>
      <c r="R60" s="22"/>
      <c r="S60" s="22"/>
      <c r="T60" s="22">
        <f t="shared" ref="T60" si="45">SUM(L60:S60)</f>
        <v>138666.66666666669</v>
      </c>
      <c r="U60" s="23">
        <f t="shared" si="40"/>
        <v>1684666.6666666667</v>
      </c>
      <c r="V60" s="23"/>
      <c r="W60" s="64"/>
      <c r="X60" s="23">
        <f t="shared" si="3"/>
        <v>1684666.6666666667</v>
      </c>
    </row>
    <row r="61" spans="1:27" x14ac:dyDescent="0.25">
      <c r="A61" s="235"/>
      <c r="B61" s="26">
        <v>58</v>
      </c>
      <c r="C61" s="19" t="s">
        <v>196</v>
      </c>
      <c r="D61" s="20" t="s">
        <v>105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46">SUM(G61:I61)+J61</f>
        <v>767155</v>
      </c>
      <c r="L61" s="22">
        <f t="shared" si="43"/>
        <v>27578.2</v>
      </c>
      <c r="M61" s="22">
        <f t="shared" ref="M61" si="47">+G61*4%</f>
        <v>27578.2</v>
      </c>
      <c r="N61" s="22"/>
      <c r="O61" s="22">
        <v>23200</v>
      </c>
      <c r="P61" s="25"/>
      <c r="Q61" s="22"/>
      <c r="R61" s="22"/>
      <c r="S61" s="22"/>
      <c r="T61" s="22">
        <f t="shared" ref="T61" si="48">SUM(L61:S61)</f>
        <v>78356.399999999994</v>
      </c>
      <c r="U61" s="23">
        <f>+K61-T61</f>
        <v>688798.6</v>
      </c>
      <c r="V61" s="23"/>
      <c r="W61" s="64"/>
      <c r="X61" s="23">
        <f t="shared" si="3"/>
        <v>688798.6</v>
      </c>
    </row>
    <row r="62" spans="1:27" x14ac:dyDescent="0.25">
      <c r="A62" s="235"/>
      <c r="B62" s="26">
        <v>59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9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26"/>
        <v>0</v>
      </c>
      <c r="U62" s="23">
        <f t="shared" si="40"/>
        <v>344727</v>
      </c>
      <c r="V62" s="23"/>
      <c r="W62" s="64"/>
      <c r="X62" s="23">
        <f t="shared" si="3"/>
        <v>344727</v>
      </c>
      <c r="AA62" s="65">
        <f>1840000-1196000</f>
        <v>644000</v>
      </c>
    </row>
    <row r="63" spans="1:27" x14ac:dyDescent="0.25">
      <c r="A63" s="235"/>
      <c r="B63" s="26">
        <v>60</v>
      </c>
      <c r="C63" s="30" t="s">
        <v>122</v>
      </c>
      <c r="D63" s="26" t="s">
        <v>32</v>
      </c>
      <c r="E63" s="22">
        <v>1800000</v>
      </c>
      <c r="F63" s="22">
        <v>30</v>
      </c>
      <c r="G63" s="22">
        <f>+E63/30*F63</f>
        <v>1800000</v>
      </c>
      <c r="H63" s="22"/>
      <c r="I63" s="22">
        <v>500000</v>
      </c>
      <c r="J63" s="22"/>
      <c r="K63" s="22">
        <f t="shared" si="19"/>
        <v>2300000</v>
      </c>
      <c r="L63" s="22">
        <f>+E63*4%</f>
        <v>72000</v>
      </c>
      <c r="M63" s="22">
        <f>+E63*4%</f>
        <v>72000</v>
      </c>
      <c r="N63" s="22"/>
      <c r="O63" s="22"/>
      <c r="P63" s="22">
        <v>0</v>
      </c>
      <c r="Q63" s="22"/>
      <c r="R63" s="22"/>
      <c r="S63" s="22"/>
      <c r="T63" s="22">
        <f t="shared" si="26"/>
        <v>144000</v>
      </c>
      <c r="U63" s="23">
        <f>K63-T63</f>
        <v>2156000</v>
      </c>
      <c r="V63" s="23"/>
      <c r="W63" s="64"/>
      <c r="X63" s="23">
        <f>U63+V63-W63</f>
        <v>2156000</v>
      </c>
    </row>
    <row r="64" spans="1:27" x14ac:dyDescent="0.25">
      <c r="A64" s="235"/>
      <c r="B64" s="26">
        <v>61</v>
      </c>
      <c r="C64" s="30" t="s">
        <v>205</v>
      </c>
      <c r="D64" s="26" t="s">
        <v>32</v>
      </c>
      <c r="E64" s="22">
        <v>689455</v>
      </c>
      <c r="F64" s="22">
        <v>30</v>
      </c>
      <c r="G64" s="22">
        <f>+E64/30*F64</f>
        <v>689455</v>
      </c>
      <c r="H64" s="22"/>
      <c r="I64" s="22"/>
      <c r="J64" s="22"/>
      <c r="K64" s="22">
        <f t="shared" si="19"/>
        <v>689455</v>
      </c>
      <c r="L64" s="22">
        <f>+G64*4%</f>
        <v>27578.2</v>
      </c>
      <c r="M64" s="22">
        <f>+G64*4%</f>
        <v>27578.2</v>
      </c>
      <c r="N64" s="22"/>
      <c r="O64" s="22"/>
      <c r="P64" s="22">
        <v>0</v>
      </c>
      <c r="Q64" s="22"/>
      <c r="R64" s="22"/>
      <c r="S64" s="22"/>
      <c r="T64" s="22">
        <f t="shared" ref="T64" si="49">SUM(L64:S64)</f>
        <v>55156.4</v>
      </c>
      <c r="U64" s="23">
        <f>K64-T64</f>
        <v>634298.6</v>
      </c>
      <c r="V64" s="23"/>
      <c r="W64" s="64"/>
      <c r="X64" s="23">
        <f>U64+V64-W64</f>
        <v>634298.6</v>
      </c>
    </row>
    <row r="65" spans="1:25" ht="20.25" customHeight="1" x14ac:dyDescent="0.25">
      <c r="A65" s="235"/>
      <c r="B65" s="26">
        <v>62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50">+E65/30*F65</f>
        <v>3000000</v>
      </c>
      <c r="H65" s="22"/>
      <c r="I65" s="22"/>
      <c r="J65" s="22"/>
      <c r="K65" s="22">
        <f t="shared" si="19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26"/>
        <v>1072634</v>
      </c>
      <c r="U65" s="23">
        <f t="shared" ref="U65:U73" si="51">+K65-T65</f>
        <v>1927366</v>
      </c>
      <c r="V65" s="23"/>
      <c r="W65" s="64"/>
      <c r="X65" s="23">
        <f t="shared" ref="X65" si="52">U65+V65-W65</f>
        <v>1927366</v>
      </c>
    </row>
    <row r="66" spans="1:25" ht="18" customHeight="1" x14ac:dyDescent="0.25">
      <c r="A66" s="235"/>
      <c r="B66" s="26">
        <v>63</v>
      </c>
      <c r="C66" s="19" t="s">
        <v>124</v>
      </c>
      <c r="D66" s="20" t="s">
        <v>32</v>
      </c>
      <c r="E66" s="22">
        <v>2000000</v>
      </c>
      <c r="F66" s="22">
        <v>30</v>
      </c>
      <c r="G66" s="22">
        <f>+E66/30*F66</f>
        <v>2000000.0000000002</v>
      </c>
      <c r="H66" s="22"/>
      <c r="I66" s="22"/>
      <c r="J66" s="22"/>
      <c r="K66" s="22">
        <f t="shared" si="19"/>
        <v>2000000.0000000002</v>
      </c>
      <c r="L66" s="22">
        <v>80000</v>
      </c>
      <c r="M66" s="22">
        <v>80000</v>
      </c>
      <c r="N66" s="22"/>
      <c r="O66" s="22"/>
      <c r="P66" s="22">
        <v>0</v>
      </c>
      <c r="Q66" s="22"/>
      <c r="R66" s="22"/>
      <c r="S66" s="22"/>
      <c r="T66" s="22">
        <f t="shared" si="26"/>
        <v>160000</v>
      </c>
      <c r="U66" s="23">
        <f t="shared" si="51"/>
        <v>1840000.0000000002</v>
      </c>
      <c r="V66" s="23"/>
      <c r="W66" s="64"/>
      <c r="X66" s="23">
        <f t="shared" si="3"/>
        <v>1840000.0000000002</v>
      </c>
    </row>
    <row r="67" spans="1:25" x14ac:dyDescent="0.25">
      <c r="A67" s="235"/>
      <c r="B67" s="26">
        <v>64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6" si="53">+E67/30*F67</f>
        <v>3250000</v>
      </c>
      <c r="H67" s="22"/>
      <c r="I67" s="22"/>
      <c r="J67" s="22"/>
      <c r="K67" s="22">
        <f t="shared" si="19"/>
        <v>3250000</v>
      </c>
      <c r="L67" s="22">
        <f t="shared" ref="L67:L93" si="54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26"/>
        <v>292500</v>
      </c>
      <c r="U67" s="23">
        <f t="shared" si="51"/>
        <v>2957500</v>
      </c>
      <c r="V67" s="23"/>
      <c r="W67" s="64"/>
      <c r="X67" s="23">
        <f t="shared" si="3"/>
        <v>2957500</v>
      </c>
      <c r="Y67" s="65" t="s">
        <v>130</v>
      </c>
    </row>
    <row r="68" spans="1:25" x14ac:dyDescent="0.25">
      <c r="A68" s="235"/>
      <c r="B68" s="26">
        <v>65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53"/>
        <v>2500000</v>
      </c>
      <c r="H68" s="22"/>
      <c r="I68" s="22"/>
      <c r="J68" s="22"/>
      <c r="K68" s="22">
        <f t="shared" si="19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26"/>
        <v>786000</v>
      </c>
      <c r="U68" s="23">
        <f t="shared" si="51"/>
        <v>1714000</v>
      </c>
      <c r="V68" s="23"/>
      <c r="W68" s="64"/>
      <c r="X68" s="23">
        <f t="shared" ref="X68:X94" si="55">U68+V68-W68</f>
        <v>1714000</v>
      </c>
    </row>
    <row r="69" spans="1:25" x14ac:dyDescent="0.25">
      <c r="A69" s="235"/>
      <c r="B69" s="26">
        <v>66</v>
      </c>
      <c r="C69" s="19" t="s">
        <v>206</v>
      </c>
      <c r="D69" s="20" t="s">
        <v>32</v>
      </c>
      <c r="E69" s="22">
        <v>900000</v>
      </c>
      <c r="F69" s="22">
        <v>30</v>
      </c>
      <c r="G69" s="22">
        <f t="shared" si="53"/>
        <v>900000</v>
      </c>
      <c r="H69" s="22"/>
      <c r="I69" s="22"/>
      <c r="J69" s="22"/>
      <c r="K69" s="22">
        <f t="shared" ref="K69" si="56">SUM(G69:I69)+J69</f>
        <v>900000</v>
      </c>
      <c r="L69" s="22">
        <f>+G69*4%</f>
        <v>36000</v>
      </c>
      <c r="M69" s="22">
        <f>+G69*4%</f>
        <v>36000</v>
      </c>
      <c r="N69" s="22"/>
      <c r="O69" s="22">
        <v>21000</v>
      </c>
      <c r="P69" s="25">
        <v>0</v>
      </c>
      <c r="Q69" s="22"/>
      <c r="R69" s="22"/>
      <c r="S69" s="22"/>
      <c r="T69" s="22">
        <f t="shared" ref="T69" si="57">SUM(L69:S69)</f>
        <v>93000</v>
      </c>
      <c r="U69" s="23">
        <f t="shared" si="51"/>
        <v>807000</v>
      </c>
      <c r="V69" s="23"/>
      <c r="W69" s="64"/>
      <c r="X69" s="23">
        <f t="shared" si="55"/>
        <v>807000</v>
      </c>
    </row>
    <row r="70" spans="1:25" x14ac:dyDescent="0.25">
      <c r="A70" s="235"/>
      <c r="B70" s="26">
        <v>67</v>
      </c>
      <c r="C70" s="19" t="s">
        <v>133</v>
      </c>
      <c r="D70" s="20" t="s">
        <v>32</v>
      </c>
      <c r="E70" s="22">
        <v>1800000</v>
      </c>
      <c r="F70" s="22">
        <v>22</v>
      </c>
      <c r="G70" s="22">
        <f t="shared" si="53"/>
        <v>1320000</v>
      </c>
      <c r="H70" s="22">
        <v>320016</v>
      </c>
      <c r="I70" s="22"/>
      <c r="J70" s="22"/>
      <c r="K70" s="22">
        <f t="shared" si="19"/>
        <v>1640016</v>
      </c>
      <c r="L70" s="22">
        <v>72000</v>
      </c>
      <c r="M70" s="22">
        <v>72000</v>
      </c>
      <c r="N70" s="22"/>
      <c r="O70" s="22">
        <v>60000</v>
      </c>
      <c r="P70" s="25">
        <v>0</v>
      </c>
      <c r="Q70" s="22"/>
      <c r="R70" s="22"/>
      <c r="S70" s="22">
        <v>420000</v>
      </c>
      <c r="T70" s="22">
        <f t="shared" si="26"/>
        <v>624000</v>
      </c>
      <c r="U70" s="23">
        <f t="shared" si="51"/>
        <v>1016016</v>
      </c>
      <c r="V70" s="23"/>
      <c r="W70" s="64"/>
      <c r="X70" s="23">
        <f t="shared" si="55"/>
        <v>1016016</v>
      </c>
    </row>
    <row r="71" spans="1:25" x14ac:dyDescent="0.25">
      <c r="A71" s="235"/>
      <c r="B71" s="26">
        <v>68</v>
      </c>
      <c r="C71" s="19" t="s">
        <v>135</v>
      </c>
      <c r="D71" s="20" t="s">
        <v>32</v>
      </c>
      <c r="E71" s="22">
        <v>1800000</v>
      </c>
      <c r="F71" s="22">
        <v>30</v>
      </c>
      <c r="G71" s="22">
        <f>+E71/30*F71</f>
        <v>1800000</v>
      </c>
      <c r="H71" s="22"/>
      <c r="I71" s="22"/>
      <c r="J71" s="22"/>
      <c r="K71" s="22">
        <f t="shared" si="19"/>
        <v>1800000</v>
      </c>
      <c r="L71" s="22">
        <v>72000</v>
      </c>
      <c r="M71" s="22">
        <v>72000</v>
      </c>
      <c r="N71" s="22"/>
      <c r="O71" s="22">
        <v>42400</v>
      </c>
      <c r="P71" s="22">
        <v>0</v>
      </c>
      <c r="Q71" s="22"/>
      <c r="R71" s="22"/>
      <c r="S71" s="22">
        <v>257196</v>
      </c>
      <c r="T71" s="22">
        <f t="shared" si="26"/>
        <v>443596</v>
      </c>
      <c r="U71" s="23">
        <f t="shared" si="51"/>
        <v>1356404</v>
      </c>
      <c r="V71" s="23"/>
      <c r="W71" s="64"/>
      <c r="X71" s="23">
        <f t="shared" si="55"/>
        <v>1356404</v>
      </c>
    </row>
    <row r="72" spans="1:25" x14ac:dyDescent="0.25">
      <c r="A72" s="235"/>
      <c r="B72" s="26">
        <v>69</v>
      </c>
      <c r="C72" s="19" t="s">
        <v>189</v>
      </c>
      <c r="D72" s="20" t="s">
        <v>32</v>
      </c>
      <c r="E72" s="22">
        <v>4500000</v>
      </c>
      <c r="F72" s="22">
        <v>30</v>
      </c>
      <c r="G72" s="22">
        <f>+E72/30*F72</f>
        <v>4500000</v>
      </c>
      <c r="H72" s="22"/>
      <c r="I72" s="22"/>
      <c r="J72" s="22"/>
      <c r="K72" s="22">
        <f t="shared" si="19"/>
        <v>4500000</v>
      </c>
      <c r="L72" s="22">
        <f t="shared" ref="L72" si="58">+G72*4%</f>
        <v>180000</v>
      </c>
      <c r="M72" s="22">
        <f>+G72*5%</f>
        <v>225000</v>
      </c>
      <c r="N72" s="22"/>
      <c r="O72" s="22"/>
      <c r="P72" s="22">
        <v>72000</v>
      </c>
      <c r="Q72" s="22"/>
      <c r="R72" s="22"/>
      <c r="S72" s="22"/>
      <c r="T72" s="22">
        <f t="shared" ref="T72" si="59">SUM(L72:S72)</f>
        <v>477000</v>
      </c>
      <c r="U72" s="23">
        <f t="shared" si="51"/>
        <v>4023000</v>
      </c>
      <c r="V72" s="23"/>
      <c r="W72" s="64"/>
      <c r="X72" s="23">
        <f t="shared" si="55"/>
        <v>4023000</v>
      </c>
    </row>
    <row r="73" spans="1:25" x14ac:dyDescent="0.25">
      <c r="A73" s="235"/>
      <c r="B73" s="26">
        <v>70</v>
      </c>
      <c r="C73" s="19" t="s">
        <v>137</v>
      </c>
      <c r="D73" s="20" t="s">
        <v>32</v>
      </c>
      <c r="E73" s="22">
        <v>1000000</v>
      </c>
      <c r="F73" s="22">
        <v>30</v>
      </c>
      <c r="G73" s="22">
        <f>+E73/30*F73</f>
        <v>1000000.0000000001</v>
      </c>
      <c r="H73" s="22">
        <v>77700</v>
      </c>
      <c r="I73" s="22"/>
      <c r="J73" s="22"/>
      <c r="K73" s="22">
        <f t="shared" si="19"/>
        <v>1077700</v>
      </c>
      <c r="L73" s="22">
        <v>40000</v>
      </c>
      <c r="M73" s="22">
        <v>40000</v>
      </c>
      <c r="N73" s="22"/>
      <c r="O73" s="22"/>
      <c r="P73" s="22">
        <v>0</v>
      </c>
      <c r="Q73" s="22"/>
      <c r="R73" s="22"/>
      <c r="S73" s="22"/>
      <c r="T73" s="22">
        <f t="shared" ref="T73" si="60">SUM(L73:S73)</f>
        <v>80000</v>
      </c>
      <c r="U73" s="23">
        <f t="shared" si="51"/>
        <v>997700</v>
      </c>
      <c r="V73" s="23"/>
      <c r="W73" s="64"/>
      <c r="X73" s="23">
        <f t="shared" si="55"/>
        <v>997700</v>
      </c>
    </row>
    <row r="74" spans="1:25" ht="24" x14ac:dyDescent="0.25">
      <c r="A74" s="235"/>
      <c r="B74" s="26">
        <v>71</v>
      </c>
      <c r="C74" s="19" t="s">
        <v>138</v>
      </c>
      <c r="D74" s="20" t="s">
        <v>32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/>
      <c r="K74" s="22">
        <f t="shared" si="19"/>
        <v>4500000</v>
      </c>
      <c r="L74" s="22">
        <v>180000</v>
      </c>
      <c r="M74" s="22">
        <v>225000</v>
      </c>
      <c r="N74" s="22"/>
      <c r="O74" s="22">
        <v>192000</v>
      </c>
      <c r="P74" s="22">
        <v>73073</v>
      </c>
      <c r="Q74" s="22"/>
      <c r="R74" s="22"/>
      <c r="S74" s="22"/>
      <c r="T74" s="22">
        <f>SUM(L74:S74)</f>
        <v>670073</v>
      </c>
      <c r="U74" s="23">
        <f>K74-T74</f>
        <v>3829927</v>
      </c>
      <c r="V74" s="23"/>
      <c r="W74" s="64"/>
      <c r="X74" s="23">
        <f t="shared" si="55"/>
        <v>3829927</v>
      </c>
    </row>
    <row r="75" spans="1:25" x14ac:dyDescent="0.25">
      <c r="A75" s="235"/>
      <c r="B75" s="26">
        <v>72</v>
      </c>
      <c r="C75" s="19" t="s">
        <v>142</v>
      </c>
      <c r="D75" s="20" t="s">
        <v>32</v>
      </c>
      <c r="E75" s="22">
        <v>2500000</v>
      </c>
      <c r="F75" s="22">
        <v>30</v>
      </c>
      <c r="G75" s="22">
        <f t="shared" ref="G75" si="61">+E75/30*F75</f>
        <v>2500000</v>
      </c>
      <c r="H75" s="22"/>
      <c r="I75" s="22">
        <v>500000</v>
      </c>
      <c r="J75" s="22"/>
      <c r="K75" s="22">
        <f t="shared" si="19"/>
        <v>3000000</v>
      </c>
      <c r="L75" s="22">
        <v>100000</v>
      </c>
      <c r="M75" s="22">
        <v>100000</v>
      </c>
      <c r="N75" s="22"/>
      <c r="O75" s="22"/>
      <c r="P75" s="22">
        <v>0</v>
      </c>
      <c r="Q75" s="22"/>
      <c r="R75" s="22"/>
      <c r="S75" s="22"/>
      <c r="T75" s="22">
        <f t="shared" si="26"/>
        <v>200000</v>
      </c>
      <c r="U75" s="23">
        <f>K75-T75</f>
        <v>2800000</v>
      </c>
      <c r="V75" s="23"/>
      <c r="W75" s="64"/>
      <c r="X75" s="23">
        <f t="shared" si="55"/>
        <v>2800000</v>
      </c>
    </row>
    <row r="76" spans="1:25" ht="24" x14ac:dyDescent="0.25">
      <c r="A76" s="235"/>
      <c r="B76" s="26">
        <v>73</v>
      </c>
      <c r="C76" s="19" t="s">
        <v>140</v>
      </c>
      <c r="D76" s="20" t="s">
        <v>32</v>
      </c>
      <c r="E76" s="22">
        <v>2548000</v>
      </c>
      <c r="F76" s="22">
        <v>30</v>
      </c>
      <c r="G76" s="22">
        <f t="shared" si="53"/>
        <v>2548000</v>
      </c>
      <c r="H76" s="22"/>
      <c r="I76" s="22"/>
      <c r="J76" s="22">
        <f>+E76-G76</f>
        <v>0</v>
      </c>
      <c r="K76" s="22">
        <f t="shared" si="19"/>
        <v>2548000</v>
      </c>
      <c r="L76" s="22">
        <v>101920</v>
      </c>
      <c r="M76" s="22">
        <v>101920</v>
      </c>
      <c r="N76" s="22"/>
      <c r="O76" s="22"/>
      <c r="P76" s="22">
        <v>0</v>
      </c>
      <c r="Q76" s="22"/>
      <c r="R76" s="22"/>
      <c r="S76" s="22"/>
      <c r="T76" s="22">
        <f t="shared" si="26"/>
        <v>203840</v>
      </c>
      <c r="U76" s="23">
        <f>K76-T76</f>
        <v>2344160</v>
      </c>
      <c r="V76" s="23"/>
      <c r="W76" s="64"/>
      <c r="X76" s="23">
        <f t="shared" si="55"/>
        <v>2344160</v>
      </c>
    </row>
    <row r="77" spans="1:25" x14ac:dyDescent="0.25">
      <c r="A77" s="235"/>
      <c r="B77" s="26">
        <v>74</v>
      </c>
      <c r="C77" s="30" t="s">
        <v>144</v>
      </c>
      <c r="D77" s="26" t="s">
        <v>32</v>
      </c>
      <c r="E77" s="22">
        <v>482618</v>
      </c>
      <c r="F77" s="22">
        <v>30</v>
      </c>
      <c r="G77" s="22">
        <f>+E77/30*F77</f>
        <v>482618</v>
      </c>
      <c r="H77" s="22">
        <v>77700</v>
      </c>
      <c r="I77" s="22"/>
      <c r="J77" s="22">
        <v>193905</v>
      </c>
      <c r="K77" s="22">
        <f t="shared" si="19"/>
        <v>754223</v>
      </c>
      <c r="L77" s="22">
        <f>+G77*4%</f>
        <v>19304.72</v>
      </c>
      <c r="M77" s="22">
        <f>+G77*4%</f>
        <v>19304.72</v>
      </c>
      <c r="N77" s="22"/>
      <c r="O77" s="22"/>
      <c r="P77" s="22">
        <v>0</v>
      </c>
      <c r="Q77" s="22"/>
      <c r="R77" s="22"/>
      <c r="S77" s="22"/>
      <c r="T77" s="22">
        <f t="shared" si="26"/>
        <v>38609.440000000002</v>
      </c>
      <c r="U77" s="23">
        <f>K77-T77</f>
        <v>715613.56</v>
      </c>
      <c r="V77" s="23"/>
      <c r="W77" s="64"/>
      <c r="X77" s="23">
        <f t="shared" si="55"/>
        <v>715613.56</v>
      </c>
    </row>
    <row r="78" spans="1:25" x14ac:dyDescent="0.25">
      <c r="A78" s="235"/>
      <c r="B78" s="26">
        <v>75</v>
      </c>
      <c r="C78" s="19" t="s">
        <v>146</v>
      </c>
      <c r="D78" s="20" t="s">
        <v>32</v>
      </c>
      <c r="E78" s="22">
        <v>15400000</v>
      </c>
      <c r="F78" s="22">
        <v>30</v>
      </c>
      <c r="G78" s="22">
        <f t="shared" ref="G78:G86" si="62">+E78/30*F78</f>
        <v>15400000</v>
      </c>
      <c r="H78" s="22"/>
      <c r="I78" s="22">
        <v>600000</v>
      </c>
      <c r="J78" s="22"/>
      <c r="K78" s="22">
        <f t="shared" si="19"/>
        <v>16000000</v>
      </c>
      <c r="L78" s="22">
        <f t="shared" si="54"/>
        <v>616000</v>
      </c>
      <c r="M78" s="22">
        <f>+G78*6%</f>
        <v>924000</v>
      </c>
      <c r="N78" s="22">
        <v>102400</v>
      </c>
      <c r="O78" s="22"/>
      <c r="P78" s="22">
        <v>1014000</v>
      </c>
      <c r="Q78" s="22">
        <v>5000000</v>
      </c>
      <c r="R78" s="22">
        <v>180180</v>
      </c>
      <c r="S78" s="22">
        <v>2314715</v>
      </c>
      <c r="T78" s="22">
        <f t="shared" si="26"/>
        <v>10151295</v>
      </c>
      <c r="U78" s="23">
        <f>+K78-T78</f>
        <v>5848705</v>
      </c>
      <c r="V78" s="23"/>
      <c r="W78" s="64"/>
      <c r="X78" s="23">
        <f t="shared" si="55"/>
        <v>5848705</v>
      </c>
    </row>
    <row r="79" spans="1:25" x14ac:dyDescent="0.25">
      <c r="A79" s="235"/>
      <c r="B79" s="26">
        <v>76</v>
      </c>
      <c r="C79" s="19" t="s">
        <v>148</v>
      </c>
      <c r="D79" s="20" t="s">
        <v>32</v>
      </c>
      <c r="E79" s="22">
        <v>4500000</v>
      </c>
      <c r="F79" s="22">
        <v>30</v>
      </c>
      <c r="G79" s="22">
        <f t="shared" si="62"/>
        <v>4500000</v>
      </c>
      <c r="H79" s="22"/>
      <c r="I79" s="22"/>
      <c r="J79" s="22"/>
      <c r="K79" s="22">
        <f t="shared" si="19"/>
        <v>4500000</v>
      </c>
      <c r="L79" s="22">
        <f t="shared" si="54"/>
        <v>180000</v>
      </c>
      <c r="M79" s="22">
        <f>+G79*5%</f>
        <v>225000</v>
      </c>
      <c r="N79" s="22"/>
      <c r="O79" s="22"/>
      <c r="P79" s="22">
        <v>90000</v>
      </c>
      <c r="Q79" s="22"/>
      <c r="R79" s="22"/>
      <c r="S79" s="22">
        <f>887544</f>
        <v>887544</v>
      </c>
      <c r="T79" s="22">
        <f t="shared" si="26"/>
        <v>1382544</v>
      </c>
      <c r="U79" s="23">
        <f>+K79-T79</f>
        <v>3117456</v>
      </c>
      <c r="V79" s="23"/>
      <c r="W79" s="64"/>
      <c r="X79" s="23">
        <f t="shared" si="55"/>
        <v>3117456</v>
      </c>
    </row>
    <row r="80" spans="1:25" x14ac:dyDescent="0.25">
      <c r="A80" s="235"/>
      <c r="B80" s="26">
        <v>77</v>
      </c>
      <c r="C80" s="19" t="s">
        <v>150</v>
      </c>
      <c r="D80" s="20" t="s">
        <v>32</v>
      </c>
      <c r="E80" s="22">
        <v>1000000</v>
      </c>
      <c r="F80" s="22">
        <v>30</v>
      </c>
      <c r="G80" s="22">
        <f t="shared" si="62"/>
        <v>1000000.0000000001</v>
      </c>
      <c r="H80" s="22">
        <v>77700</v>
      </c>
      <c r="I80" s="22"/>
      <c r="J80" s="22"/>
      <c r="K80" s="22">
        <f t="shared" si="19"/>
        <v>1077700</v>
      </c>
      <c r="L80" s="22">
        <f t="shared" si="54"/>
        <v>40000.000000000007</v>
      </c>
      <c r="M80" s="22">
        <f t="shared" ref="M80:M92" si="63">+G80*4%</f>
        <v>40000.000000000007</v>
      </c>
      <c r="N80" s="22"/>
      <c r="O80" s="22"/>
      <c r="P80" s="22">
        <v>0</v>
      </c>
      <c r="Q80" s="22"/>
      <c r="R80" s="22"/>
      <c r="S80" s="22"/>
      <c r="T80" s="22">
        <f t="shared" si="26"/>
        <v>80000.000000000015</v>
      </c>
      <c r="U80" s="23">
        <f>+K80-T80</f>
        <v>997700</v>
      </c>
      <c r="V80" s="23"/>
      <c r="W80" s="64"/>
      <c r="X80" s="23">
        <f t="shared" si="55"/>
        <v>997700</v>
      </c>
    </row>
    <row r="81" spans="1:24" x14ac:dyDescent="0.25">
      <c r="A81" s="235"/>
      <c r="B81" s="26">
        <v>78</v>
      </c>
      <c r="C81" s="30" t="s">
        <v>152</v>
      </c>
      <c r="D81" s="26" t="s">
        <v>32</v>
      </c>
      <c r="E81" s="22">
        <v>2000000</v>
      </c>
      <c r="F81" s="22">
        <v>30</v>
      </c>
      <c r="G81" s="22">
        <f t="shared" si="62"/>
        <v>2000000.0000000002</v>
      </c>
      <c r="H81" s="22"/>
      <c r="I81" s="22"/>
      <c r="J81" s="22">
        <v>160000</v>
      </c>
      <c r="K81" s="22">
        <f t="shared" si="19"/>
        <v>2160000</v>
      </c>
      <c r="L81" s="22">
        <f>+E81*4%</f>
        <v>80000</v>
      </c>
      <c r="M81" s="22">
        <v>80000</v>
      </c>
      <c r="N81" s="22"/>
      <c r="O81" s="22"/>
      <c r="P81" s="22">
        <v>0</v>
      </c>
      <c r="Q81" s="22"/>
      <c r="R81" s="22"/>
      <c r="S81" s="22"/>
      <c r="T81" s="22">
        <f t="shared" si="26"/>
        <v>160000</v>
      </c>
      <c r="U81" s="23">
        <f>K81-T81</f>
        <v>2000000</v>
      </c>
      <c r="V81" s="23"/>
      <c r="W81" s="64"/>
      <c r="X81" s="23">
        <f t="shared" si="55"/>
        <v>2000000</v>
      </c>
    </row>
    <row r="82" spans="1:24" x14ac:dyDescent="0.25">
      <c r="A82" s="235"/>
      <c r="B82" s="26">
        <v>79</v>
      </c>
      <c r="C82" s="30" t="s">
        <v>184</v>
      </c>
      <c r="D82" s="26" t="s">
        <v>32</v>
      </c>
      <c r="E82" s="22">
        <v>900000</v>
      </c>
      <c r="F82" s="22">
        <v>30</v>
      </c>
      <c r="G82" s="22">
        <f t="shared" si="62"/>
        <v>900000</v>
      </c>
      <c r="H82" s="22">
        <f>+(77700/30)*F82</f>
        <v>77700</v>
      </c>
      <c r="I82" s="22"/>
      <c r="J82" s="22"/>
      <c r="K82" s="22">
        <f t="shared" si="19"/>
        <v>977700</v>
      </c>
      <c r="L82" s="22">
        <f t="shared" si="54"/>
        <v>36000</v>
      </c>
      <c r="M82" s="22">
        <f>+G82*4%</f>
        <v>36000</v>
      </c>
      <c r="N82" s="22"/>
      <c r="O82" s="22"/>
      <c r="P82" s="22"/>
      <c r="Q82" s="22"/>
      <c r="R82" s="22"/>
      <c r="S82" s="22"/>
      <c r="T82" s="22">
        <f>SUM(L82:S82)</f>
        <v>72000</v>
      </c>
      <c r="U82" s="23">
        <f>K82-T82</f>
        <v>905700</v>
      </c>
      <c r="V82" s="23"/>
      <c r="W82" s="64"/>
      <c r="X82" s="23">
        <f t="shared" si="55"/>
        <v>905700</v>
      </c>
    </row>
    <row r="83" spans="1:24" x14ac:dyDescent="0.25">
      <c r="A83" s="235"/>
      <c r="B83" s="26">
        <v>80</v>
      </c>
      <c r="C83" s="30" t="s">
        <v>197</v>
      </c>
      <c r="D83" s="26" t="s">
        <v>32</v>
      </c>
      <c r="E83" s="22">
        <v>1200000</v>
      </c>
      <c r="F83" s="22">
        <v>30</v>
      </c>
      <c r="G83" s="22">
        <f t="shared" si="62"/>
        <v>1200000</v>
      </c>
      <c r="H83" s="22">
        <f>+(77700/30)*F83</f>
        <v>77700</v>
      </c>
      <c r="I83" s="22"/>
      <c r="J83" s="22"/>
      <c r="K83" s="22">
        <f t="shared" ref="K83" si="64">SUM(G83:I83)+J83</f>
        <v>1277700</v>
      </c>
      <c r="L83" s="22">
        <f t="shared" si="54"/>
        <v>48000</v>
      </c>
      <c r="M83" s="22">
        <f>+G83*4%</f>
        <v>48000</v>
      </c>
      <c r="N83" s="22"/>
      <c r="O83" s="22"/>
      <c r="P83" s="22"/>
      <c r="Q83" s="22"/>
      <c r="R83" s="22"/>
      <c r="S83" s="22"/>
      <c r="T83" s="22">
        <f t="shared" ref="T83" si="65">SUM(L83:S83)</f>
        <v>96000</v>
      </c>
      <c r="U83" s="23">
        <f>K83-T83</f>
        <v>1181700</v>
      </c>
      <c r="V83" s="23"/>
      <c r="W83" s="64"/>
      <c r="X83" s="23">
        <f t="shared" si="55"/>
        <v>1181700</v>
      </c>
    </row>
    <row r="84" spans="1:24" ht="24" x14ac:dyDescent="0.25">
      <c r="A84" s="235"/>
      <c r="B84" s="26">
        <v>81</v>
      </c>
      <c r="C84" s="19" t="s">
        <v>175</v>
      </c>
      <c r="D84" s="20" t="s">
        <v>32</v>
      </c>
      <c r="E84" s="22">
        <v>2500000</v>
      </c>
      <c r="F84" s="22">
        <v>30</v>
      </c>
      <c r="G84" s="22">
        <f t="shared" si="62"/>
        <v>2500000</v>
      </c>
      <c r="H84" s="22"/>
      <c r="I84" s="22"/>
      <c r="J84" s="22"/>
      <c r="K84" s="22">
        <f t="shared" si="19"/>
        <v>2500000</v>
      </c>
      <c r="L84" s="22">
        <f t="shared" si="54"/>
        <v>100000</v>
      </c>
      <c r="M84" s="22">
        <f t="shared" si="63"/>
        <v>100000</v>
      </c>
      <c r="N84" s="22"/>
      <c r="O84" s="22"/>
      <c r="P84" s="22"/>
      <c r="Q84" s="22"/>
      <c r="R84" s="22"/>
      <c r="S84" s="22"/>
      <c r="T84" s="22">
        <f t="shared" si="26"/>
        <v>200000</v>
      </c>
      <c r="U84" s="23">
        <f>+K84-T84</f>
        <v>2300000</v>
      </c>
      <c r="V84" s="23"/>
      <c r="W84" s="64"/>
      <c r="X84" s="23">
        <f t="shared" si="55"/>
        <v>2300000</v>
      </c>
    </row>
    <row r="85" spans="1:24" ht="24" x14ac:dyDescent="0.25">
      <c r="A85" s="235"/>
      <c r="B85" s="26">
        <v>82</v>
      </c>
      <c r="C85" s="19" t="s">
        <v>88</v>
      </c>
      <c r="D85" s="20" t="s">
        <v>32</v>
      </c>
      <c r="E85" s="22">
        <v>3700000</v>
      </c>
      <c r="F85" s="22">
        <v>30</v>
      </c>
      <c r="G85" s="22">
        <f t="shared" si="62"/>
        <v>3700000</v>
      </c>
      <c r="H85" s="22"/>
      <c r="I85" s="22">
        <v>650000</v>
      </c>
      <c r="J85" s="22"/>
      <c r="K85" s="22">
        <f t="shared" ref="K85" si="66">SUM(G85:I85)+J85</f>
        <v>4350000</v>
      </c>
      <c r="L85" s="22">
        <f t="shared" si="54"/>
        <v>148000</v>
      </c>
      <c r="M85" s="22">
        <f>+G85*5%</f>
        <v>185000</v>
      </c>
      <c r="N85" s="22"/>
      <c r="O85" s="22"/>
      <c r="P85" s="22">
        <v>35000</v>
      </c>
      <c r="Q85" s="22"/>
      <c r="R85" s="22"/>
      <c r="S85" s="22"/>
      <c r="T85" s="22">
        <f t="shared" ref="T85" si="67">SUM(L85:S85)</f>
        <v>368000</v>
      </c>
      <c r="U85" s="23">
        <f>+K85-T85</f>
        <v>3982000</v>
      </c>
      <c r="V85" s="23"/>
      <c r="W85" s="64"/>
      <c r="X85" s="23">
        <f t="shared" si="55"/>
        <v>3982000</v>
      </c>
    </row>
    <row r="86" spans="1:24" x14ac:dyDescent="0.25">
      <c r="A86" s="235"/>
      <c r="B86" s="26">
        <v>83</v>
      </c>
      <c r="C86" s="19" t="s">
        <v>154</v>
      </c>
      <c r="D86" s="20" t="s">
        <v>105</v>
      </c>
      <c r="E86" s="22">
        <v>1400000</v>
      </c>
      <c r="F86" s="22">
        <v>30</v>
      </c>
      <c r="G86" s="22">
        <f t="shared" si="62"/>
        <v>1400000</v>
      </c>
      <c r="H86" s="22"/>
      <c r="I86" s="22"/>
      <c r="J86" s="22"/>
      <c r="K86" s="22">
        <f t="shared" si="19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26"/>
        <v>112000</v>
      </c>
      <c r="U86" s="23">
        <f>+K86-T86</f>
        <v>1288000</v>
      </c>
      <c r="V86" s="23"/>
      <c r="W86" s="64"/>
      <c r="X86" s="23">
        <f t="shared" si="55"/>
        <v>1288000</v>
      </c>
    </row>
    <row r="87" spans="1:24" x14ac:dyDescent="0.25">
      <c r="A87" s="235"/>
      <c r="B87" s="26">
        <v>84</v>
      </c>
      <c r="C87" s="30" t="s">
        <v>159</v>
      </c>
      <c r="D87" s="26" t="s">
        <v>32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9"/>
        <v>1377700</v>
      </c>
      <c r="L87" s="22">
        <f t="shared" si="54"/>
        <v>52000</v>
      </c>
      <c r="M87" s="22">
        <f t="shared" si="63"/>
        <v>52000</v>
      </c>
      <c r="N87" s="22"/>
      <c r="O87" s="22">
        <v>81200</v>
      </c>
      <c r="P87" s="22">
        <v>0</v>
      </c>
      <c r="Q87" s="22"/>
      <c r="R87" s="22"/>
      <c r="S87" s="22">
        <v>249127</v>
      </c>
      <c r="T87" s="22">
        <f t="shared" si="26"/>
        <v>434327</v>
      </c>
      <c r="U87" s="23">
        <f>K87-T87</f>
        <v>943373</v>
      </c>
      <c r="V87" s="23"/>
      <c r="W87" s="64"/>
      <c r="X87" s="23">
        <f t="shared" si="55"/>
        <v>943373</v>
      </c>
    </row>
    <row r="88" spans="1:24" x14ac:dyDescent="0.25">
      <c r="A88" s="235"/>
      <c r="B88" s="26">
        <v>85</v>
      </c>
      <c r="C88" s="19" t="s">
        <v>161</v>
      </c>
      <c r="D88" s="20" t="s">
        <v>32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9"/>
        <v>767155</v>
      </c>
      <c r="L88" s="22">
        <f t="shared" si="54"/>
        <v>27578.2</v>
      </c>
      <c r="M88" s="22">
        <f t="shared" si="63"/>
        <v>27578.2</v>
      </c>
      <c r="N88" s="22"/>
      <c r="O88" s="22"/>
      <c r="P88" s="22">
        <v>0</v>
      </c>
      <c r="Q88" s="22"/>
      <c r="R88" s="22"/>
      <c r="S88" s="22"/>
      <c r="T88" s="22">
        <f t="shared" si="26"/>
        <v>55156.4</v>
      </c>
      <c r="U88" s="23">
        <f>+K88-T88</f>
        <v>711998.6</v>
      </c>
      <c r="V88" s="23"/>
      <c r="W88" s="64"/>
      <c r="X88" s="23">
        <f t="shared" si="55"/>
        <v>711998.6</v>
      </c>
    </row>
    <row r="89" spans="1:24" ht="24" x14ac:dyDescent="0.25">
      <c r="A89" s="235"/>
      <c r="B89" s="26">
        <v>86</v>
      </c>
      <c r="C89" s="19" t="s">
        <v>163</v>
      </c>
      <c r="D89" s="20" t="s">
        <v>32</v>
      </c>
      <c r="E89" s="22">
        <v>1200000</v>
      </c>
      <c r="F89" s="22">
        <v>27</v>
      </c>
      <c r="G89" s="22">
        <f>+E89/30*F89</f>
        <v>1080000</v>
      </c>
      <c r="H89" s="22">
        <v>77700</v>
      </c>
      <c r="I89" s="22">
        <v>80004</v>
      </c>
      <c r="J89" s="22"/>
      <c r="K89" s="22">
        <f t="shared" si="19"/>
        <v>1237704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26"/>
        <v>96000</v>
      </c>
      <c r="U89" s="23">
        <f>+K89-T89</f>
        <v>1141704</v>
      </c>
      <c r="V89" s="23"/>
      <c r="W89" s="64"/>
      <c r="X89" s="23">
        <f t="shared" si="55"/>
        <v>1141704</v>
      </c>
    </row>
    <row r="90" spans="1:24" ht="24" x14ac:dyDescent="0.25">
      <c r="A90" s="72"/>
      <c r="B90" s="26">
        <v>87</v>
      </c>
      <c r="C90" s="19" t="s">
        <v>207</v>
      </c>
      <c r="D90" s="20" t="s">
        <v>32</v>
      </c>
      <c r="E90" s="22">
        <v>1100000</v>
      </c>
      <c r="F90" s="22">
        <v>30</v>
      </c>
      <c r="G90" s="22">
        <f>+E90/30*F90</f>
        <v>1100000</v>
      </c>
      <c r="H90" s="22">
        <f>+(77700/30)*F90</f>
        <v>77700</v>
      </c>
      <c r="I90" s="22"/>
      <c r="J90" s="22"/>
      <c r="K90" s="22">
        <f t="shared" ref="K90" si="68">SUM(G90:I90)+J90</f>
        <v>1177700</v>
      </c>
      <c r="L90" s="22">
        <f t="shared" ref="L90" si="69">+G90*4%</f>
        <v>44000</v>
      </c>
      <c r="M90" s="22">
        <f t="shared" ref="M90" si="70">+G90*4%</f>
        <v>44000</v>
      </c>
      <c r="N90" s="22"/>
      <c r="O90" s="22"/>
      <c r="P90" s="22">
        <v>0</v>
      </c>
      <c r="Q90" s="22"/>
      <c r="R90" s="22"/>
      <c r="S90" s="22"/>
      <c r="T90" s="22">
        <f t="shared" si="26"/>
        <v>88000</v>
      </c>
      <c r="U90" s="23">
        <f>+K90-T90</f>
        <v>1089700</v>
      </c>
      <c r="V90" s="23"/>
      <c r="W90" s="64"/>
      <c r="X90" s="23">
        <f t="shared" si="55"/>
        <v>1089700</v>
      </c>
    </row>
    <row r="91" spans="1:24" ht="18.75" customHeight="1" x14ac:dyDescent="0.25">
      <c r="A91" s="72"/>
      <c r="B91" s="26">
        <v>88</v>
      </c>
      <c r="C91" s="19" t="s">
        <v>165</v>
      </c>
      <c r="D91" s="20" t="s">
        <v>32</v>
      </c>
      <c r="E91" s="22">
        <v>2000000</v>
      </c>
      <c r="F91" s="22">
        <v>30</v>
      </c>
      <c r="G91" s="22">
        <f t="shared" ref="G91:G94" si="71">+E91/30*F91</f>
        <v>2000000.0000000002</v>
      </c>
      <c r="H91" s="22"/>
      <c r="I91" s="22"/>
      <c r="J91" s="22"/>
      <c r="K91" s="22">
        <f t="shared" si="19"/>
        <v>2000000.0000000002</v>
      </c>
      <c r="L91" s="22">
        <f t="shared" si="54"/>
        <v>80000.000000000015</v>
      </c>
      <c r="M91" s="22">
        <f t="shared" si="63"/>
        <v>80000.000000000015</v>
      </c>
      <c r="N91" s="22"/>
      <c r="O91" s="22"/>
      <c r="P91" s="22"/>
      <c r="Q91" s="22"/>
      <c r="R91" s="22"/>
      <c r="S91" s="22"/>
      <c r="T91" s="22">
        <f t="shared" si="26"/>
        <v>160000.00000000003</v>
      </c>
      <c r="U91" s="23">
        <f>+K91-T91</f>
        <v>1840000.0000000002</v>
      </c>
      <c r="V91" s="23"/>
      <c r="W91" s="64"/>
      <c r="X91" s="23">
        <f t="shared" si="55"/>
        <v>1840000.0000000002</v>
      </c>
    </row>
    <row r="92" spans="1:24" ht="24" x14ac:dyDescent="0.25">
      <c r="A92" s="72"/>
      <c r="B92" s="26">
        <v>89</v>
      </c>
      <c r="C92" s="19" t="s">
        <v>168</v>
      </c>
      <c r="D92" s="20" t="s">
        <v>32</v>
      </c>
      <c r="E92" s="22">
        <v>900000</v>
      </c>
      <c r="F92" s="22">
        <v>30</v>
      </c>
      <c r="G92" s="22">
        <f t="shared" si="71"/>
        <v>900000</v>
      </c>
      <c r="H92" s="22">
        <f>+(77700/30)*F92</f>
        <v>77700</v>
      </c>
      <c r="I92" s="22"/>
      <c r="J92" s="22"/>
      <c r="K92" s="22">
        <f t="shared" si="19"/>
        <v>977700</v>
      </c>
      <c r="L92" s="22">
        <f t="shared" si="54"/>
        <v>36000</v>
      </c>
      <c r="M92" s="22">
        <f t="shared" si="63"/>
        <v>36000</v>
      </c>
      <c r="N92" s="22"/>
      <c r="O92" s="22"/>
      <c r="P92" s="22">
        <v>0</v>
      </c>
      <c r="Q92" s="22"/>
      <c r="R92" s="22"/>
      <c r="S92" s="22"/>
      <c r="T92" s="22">
        <f t="shared" si="26"/>
        <v>72000</v>
      </c>
      <c r="U92" s="23">
        <f>K92-T92</f>
        <v>905700</v>
      </c>
      <c r="V92" s="23"/>
      <c r="W92" s="64"/>
      <c r="X92" s="23">
        <f t="shared" si="55"/>
        <v>905700</v>
      </c>
    </row>
    <row r="93" spans="1:24" ht="24" x14ac:dyDescent="0.25">
      <c r="A93" s="72"/>
      <c r="B93" s="26">
        <v>90</v>
      </c>
      <c r="C93" s="19" t="s">
        <v>176</v>
      </c>
      <c r="D93" s="20" t="s">
        <v>32</v>
      </c>
      <c r="E93" s="22">
        <v>4000000</v>
      </c>
      <c r="F93" s="22">
        <v>30</v>
      </c>
      <c r="G93" s="22">
        <f t="shared" si="71"/>
        <v>4000000.0000000005</v>
      </c>
      <c r="H93" s="22"/>
      <c r="I93" s="22"/>
      <c r="J93" s="22"/>
      <c r="K93" s="22">
        <f t="shared" ref="K93" si="72">SUM(G93:I93)+J93</f>
        <v>4000000.0000000005</v>
      </c>
      <c r="L93" s="22">
        <f t="shared" si="54"/>
        <v>160000.00000000003</v>
      </c>
      <c r="M93" s="22">
        <f>+G93*5%</f>
        <v>200000.00000000003</v>
      </c>
      <c r="N93" s="22"/>
      <c r="O93" s="22">
        <v>14400</v>
      </c>
      <c r="P93" s="22">
        <v>31064</v>
      </c>
      <c r="Q93" s="22"/>
      <c r="R93" s="22"/>
      <c r="S93" s="22"/>
      <c r="T93" s="22">
        <f t="shared" si="26"/>
        <v>405464.00000000006</v>
      </c>
      <c r="U93" s="23">
        <f>+K93-T93</f>
        <v>3594536.0000000005</v>
      </c>
      <c r="V93" s="23"/>
      <c r="W93" s="64"/>
      <c r="X93" s="23">
        <f t="shared" si="55"/>
        <v>3594536.0000000005</v>
      </c>
    </row>
    <row r="94" spans="1:24" ht="24.75" customHeight="1" x14ac:dyDescent="0.25">
      <c r="A94" s="72"/>
      <c r="B94" s="26">
        <v>91</v>
      </c>
      <c r="C94" s="19" t="s">
        <v>166</v>
      </c>
      <c r="D94" s="20" t="s">
        <v>32</v>
      </c>
      <c r="E94" s="22">
        <v>2500000</v>
      </c>
      <c r="F94" s="22">
        <v>30</v>
      </c>
      <c r="G94" s="22">
        <f t="shared" si="71"/>
        <v>2500000</v>
      </c>
      <c r="H94" s="22"/>
      <c r="I94" s="22">
        <v>500000</v>
      </c>
      <c r="J94" s="22"/>
      <c r="K94" s="22">
        <f t="shared" ref="K94" si="73">SUM(G94:I94)+J94</f>
        <v>3000000</v>
      </c>
      <c r="L94" s="22">
        <v>100000</v>
      </c>
      <c r="M94" s="22">
        <v>100000</v>
      </c>
      <c r="N94" s="22"/>
      <c r="O94" s="22"/>
      <c r="P94" s="22">
        <v>0</v>
      </c>
      <c r="Q94" s="22"/>
      <c r="R94" s="22"/>
      <c r="S94" s="22"/>
      <c r="T94" s="22">
        <f t="shared" si="26"/>
        <v>200000</v>
      </c>
      <c r="U94" s="23">
        <f>K94-T94</f>
        <v>2800000</v>
      </c>
      <c r="V94" s="23"/>
      <c r="W94" s="64"/>
      <c r="X94" s="23">
        <f t="shared" si="55"/>
        <v>2800000</v>
      </c>
    </row>
    <row r="95" spans="1:24" x14ac:dyDescent="0.25">
      <c r="A95" s="26"/>
      <c r="B95" s="26"/>
      <c r="C95" s="19" t="s">
        <v>169</v>
      </c>
      <c r="D95" s="26"/>
      <c r="E95" s="22">
        <f>SUM(E4:E94)</f>
        <v>285030905</v>
      </c>
      <c r="F95" s="22" t="s">
        <v>1</v>
      </c>
      <c r="G95" s="22">
        <f>SUM(G4:G94)</f>
        <v>279509510.83333337</v>
      </c>
      <c r="H95" s="22">
        <f>SUM(H5:H89)</f>
        <v>2575321</v>
      </c>
      <c r="I95" s="22">
        <f>SUM(I5:I89)</f>
        <v>12034991</v>
      </c>
      <c r="J95" s="22">
        <f>SUM(J4:J94)</f>
        <v>5733905</v>
      </c>
      <c r="K95" s="22">
        <f>SUM(K5:K89)</f>
        <v>284223727.83333337</v>
      </c>
      <c r="L95" s="22">
        <f>SUM(L5:L89)</f>
        <v>10709024.073333332</v>
      </c>
      <c r="M95" s="22">
        <f>SUM(M5:M89)</f>
        <v>13037826.013333332</v>
      </c>
      <c r="N95" s="22">
        <f>SUM(N5:N89)</f>
        <v>102400</v>
      </c>
      <c r="O95" s="22">
        <f>SUM(O4:O94)</f>
        <v>577000</v>
      </c>
      <c r="P95" s="22">
        <f>SUM(P4:P94)</f>
        <v>4022872</v>
      </c>
      <c r="Q95" s="22">
        <f>SUM(Q5:Q89)</f>
        <v>6200000</v>
      </c>
      <c r="R95" s="22">
        <f>SUM(R5:R89)</f>
        <v>986279</v>
      </c>
      <c r="S95" s="22">
        <f>SUM(S5:S89)</f>
        <v>12695686</v>
      </c>
      <c r="T95" s="22">
        <f>SUM(T5:T89)</f>
        <v>48266623.086666659</v>
      </c>
      <c r="U95" s="23">
        <f>SUM(U4:U94)</f>
        <v>250864690.74666664</v>
      </c>
      <c r="V95" s="23">
        <f>SUM(V5:V89)</f>
        <v>0</v>
      </c>
      <c r="W95" s="64">
        <f>SUM(W5:W89)</f>
        <v>0</v>
      </c>
      <c r="X95" s="23">
        <f>SUM(X4:X94)</f>
        <v>250547542.44666663</v>
      </c>
    </row>
    <row r="96" spans="1:24" x14ac:dyDescent="0.25">
      <c r="E96" s="76"/>
      <c r="F96" s="76"/>
      <c r="G96" s="76"/>
      <c r="U96" s="77"/>
      <c r="V96" s="77"/>
      <c r="X96" s="77"/>
    </row>
    <row r="97" spans="2:28" x14ac:dyDescent="0.25"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9"/>
      <c r="V97" s="75"/>
      <c r="W97" s="80"/>
      <c r="X97" s="79"/>
    </row>
    <row r="98" spans="2:28" x14ac:dyDescent="0.25"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9"/>
    </row>
    <row r="99" spans="2:28" x14ac:dyDescent="0.25"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5"/>
      <c r="V99" s="75"/>
      <c r="W99" s="80"/>
      <c r="X99" s="79"/>
    </row>
    <row r="100" spans="2:28" x14ac:dyDescent="0.25"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5"/>
      <c r="V100" s="75"/>
      <c r="W100" s="80"/>
      <c r="X100" s="75"/>
      <c r="Y100" s="75"/>
      <c r="Z100" s="75"/>
      <c r="AA100" s="75"/>
      <c r="AB100" s="75"/>
    </row>
    <row r="101" spans="2:28" x14ac:dyDescent="0.25">
      <c r="B101" s="75"/>
      <c r="C101" s="81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76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2:28" x14ac:dyDescent="0.25">
      <c r="B104" s="75"/>
      <c r="C104" s="81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5"/>
      <c r="V104" s="75"/>
      <c r="W104" s="80"/>
      <c r="X104" s="75"/>
      <c r="Y104" s="75"/>
      <c r="Z104" s="75"/>
      <c r="AA104" s="75"/>
      <c r="AB104" s="75"/>
    </row>
    <row r="105" spans="2:28" x14ac:dyDescent="0.25">
      <c r="B105" s="75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4"/>
      <c r="W105" s="85"/>
      <c r="X105" s="84"/>
      <c r="Y105" s="75"/>
      <c r="Z105" s="75"/>
      <c r="AA105" s="75"/>
      <c r="AB105" s="75"/>
    </row>
    <row r="106" spans="2:28" x14ac:dyDescent="0.25">
      <c r="B106" s="86"/>
      <c r="C106" s="81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4"/>
      <c r="V106" s="84"/>
      <c r="W106" s="85"/>
      <c r="X106" s="84"/>
      <c r="Y106" s="75"/>
      <c r="Z106" s="75"/>
      <c r="AA106" s="75"/>
      <c r="AB106" s="75"/>
    </row>
    <row r="107" spans="2:28" x14ac:dyDescent="0.25">
      <c r="B107" s="75"/>
      <c r="C107" s="81"/>
      <c r="D107" s="75"/>
      <c r="E107" s="76"/>
      <c r="F107" s="76"/>
      <c r="G107" s="88"/>
      <c r="H107" s="76"/>
      <c r="I107" s="76"/>
      <c r="J107" s="76"/>
      <c r="K107" s="76"/>
      <c r="L107" s="76"/>
      <c r="M107" s="76"/>
      <c r="N107" s="89"/>
      <c r="O107" s="89"/>
      <c r="P107" s="89"/>
      <c r="Q107" s="89"/>
      <c r="R107" s="89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2:28" x14ac:dyDescent="0.25">
      <c r="B108" s="75"/>
      <c r="C108" s="90"/>
      <c r="D108" s="84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4"/>
      <c r="V108" s="84"/>
      <c r="W108" s="85"/>
      <c r="X108" s="84"/>
      <c r="Y108" s="75"/>
      <c r="Z108" s="75"/>
      <c r="AA108" s="75"/>
      <c r="AB108" s="75"/>
    </row>
    <row r="109" spans="2:28" x14ac:dyDescent="0.25">
      <c r="B109" s="84"/>
      <c r="C109" s="90"/>
      <c r="D109" s="84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4"/>
      <c r="V109" s="84"/>
      <c r="W109" s="85"/>
      <c r="X109" s="84"/>
      <c r="Y109" s="75"/>
      <c r="Z109" s="75"/>
      <c r="AA109" s="75"/>
      <c r="AB109" s="75"/>
    </row>
    <row r="110" spans="2:28" x14ac:dyDescent="0.25">
      <c r="B110" s="75"/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3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3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3:28" x14ac:dyDescent="0.25"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3:28" x14ac:dyDescent="0.25"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3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3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3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3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3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3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3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3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3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3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3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3:28" x14ac:dyDescent="0.25">
      <c r="C128" s="81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5"/>
      <c r="V128" s="75"/>
      <c r="W128" s="80"/>
      <c r="X128" s="75"/>
      <c r="Y128" s="75"/>
      <c r="Z128" s="75"/>
      <c r="AA128" s="75"/>
      <c r="AB128" s="75"/>
    </row>
    <row r="129" spans="2:28" x14ac:dyDescent="0.25">
      <c r="C129" s="81"/>
      <c r="D129" s="75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75"/>
      <c r="S129" s="76"/>
      <c r="T129" s="76"/>
      <c r="U129" s="75"/>
      <c r="V129" s="75"/>
      <c r="W129" s="80"/>
      <c r="X129" s="75"/>
      <c r="Y129" s="75"/>
      <c r="Z129" s="75"/>
      <c r="AA129" s="75"/>
      <c r="AB129" s="75"/>
    </row>
    <row r="130" spans="2:28" x14ac:dyDescent="0.25">
      <c r="B130" s="75"/>
      <c r="C130" s="8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1"/>
      <c r="N130" s="231"/>
      <c r="O130" s="231"/>
      <c r="P130" s="231"/>
      <c r="Q130" s="231"/>
      <c r="R130" s="231"/>
      <c r="S130" s="231"/>
      <c r="T130" s="231"/>
      <c r="U130" s="231"/>
      <c r="V130" s="231"/>
      <c r="W130" s="231"/>
      <c r="X130" s="231"/>
      <c r="Y130" s="75"/>
      <c r="Z130" s="75"/>
      <c r="AA130" s="75"/>
      <c r="AB130" s="75"/>
    </row>
    <row r="131" spans="2:28" x14ac:dyDescent="0.25">
      <c r="B131" s="75"/>
      <c r="C131" s="81"/>
      <c r="D131" s="75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  <c r="Y131" s="75"/>
      <c r="Z131" s="75"/>
      <c r="AA131" s="75"/>
      <c r="AB131" s="75"/>
    </row>
    <row r="132" spans="2:28" x14ac:dyDescent="0.25">
      <c r="B132" s="75"/>
      <c r="C132" s="90"/>
      <c r="D132" s="8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4"/>
      <c r="V132" s="84"/>
      <c r="W132" s="85"/>
      <c r="X132" s="84"/>
    </row>
    <row r="133" spans="2:28" x14ac:dyDescent="0.25">
      <c r="B133" s="91"/>
      <c r="C133" s="90"/>
      <c r="D133" s="84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4"/>
      <c r="V133" s="84"/>
      <c r="W133" s="85"/>
      <c r="X133" s="84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90"/>
      <c r="D135" s="8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90"/>
      <c r="D136" s="84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5"/>
      <c r="V139" s="75"/>
      <c r="W139" s="80"/>
      <c r="X139" s="75"/>
    </row>
    <row r="140" spans="2:28" x14ac:dyDescent="0.25"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5"/>
      <c r="V142" s="75"/>
      <c r="W142" s="80"/>
      <c r="X142" s="75"/>
    </row>
    <row r="143" spans="2:28" x14ac:dyDescent="0.25">
      <c r="B143" s="75"/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92"/>
      <c r="V143" s="92"/>
      <c r="W143" s="80"/>
      <c r="X143" s="92"/>
    </row>
    <row r="144" spans="2:28" x14ac:dyDescent="0.25">
      <c r="B144" s="75"/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93"/>
      <c r="V144" s="93"/>
      <c r="W144" s="80"/>
      <c r="X144" s="93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>
        <v>3003000</v>
      </c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90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3:24" x14ac:dyDescent="0.25">
      <c r="C156" s="90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3:24" x14ac:dyDescent="0.25">
      <c r="C157" s="81">
        <v>42614840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>
        <v>412608</v>
      </c>
      <c r="U157" s="75"/>
      <c r="V157" s="75"/>
      <c r="W157" s="80"/>
      <c r="X157" s="75"/>
    </row>
    <row r="158" spans="3:24" x14ac:dyDescent="0.25">
      <c r="C158" s="81">
        <v>9675182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>
        <v>1880000</v>
      </c>
      <c r="U158" s="75"/>
      <c r="V158" s="75"/>
      <c r="W158" s="80"/>
      <c r="X158" s="75"/>
    </row>
    <row r="159" spans="3:24" x14ac:dyDescent="0.25">
      <c r="C159" s="81">
        <v>17903600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f>SUM(C157:C159)</f>
        <v>70193622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>
        <v>400000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>
        <f>+C160+C161</f>
        <v>70593622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5" spans="3:24" x14ac:dyDescent="0.25">
      <c r="C165" s="74">
        <v>64000000</v>
      </c>
    </row>
    <row r="166" spans="3:24" x14ac:dyDescent="0.25">
      <c r="C166" s="74">
        <v>11000000</v>
      </c>
    </row>
    <row r="167" spans="3:24" x14ac:dyDescent="0.25">
      <c r="C167" s="74">
        <f>+C165+C166</f>
        <v>75000000</v>
      </c>
    </row>
    <row r="171" spans="3:24" x14ac:dyDescent="0.25">
      <c r="C171" s="74">
        <v>2745000</v>
      </c>
    </row>
    <row r="172" spans="3:24" x14ac:dyDescent="0.25">
      <c r="C172" s="74">
        <v>3185000</v>
      </c>
    </row>
    <row r="173" spans="3:24" x14ac:dyDescent="0.25">
      <c r="C173" s="74">
        <v>1080000</v>
      </c>
    </row>
    <row r="174" spans="3:24" x14ac:dyDescent="0.25">
      <c r="C174" s="74">
        <v>4850100</v>
      </c>
    </row>
    <row r="175" spans="3:24" x14ac:dyDescent="0.25">
      <c r="C175" s="74">
        <v>5027500</v>
      </c>
    </row>
    <row r="176" spans="3:24" x14ac:dyDescent="0.25">
      <c r="C176" s="74">
        <v>4566000</v>
      </c>
    </row>
    <row r="177" spans="3:3" x14ac:dyDescent="0.25">
      <c r="C177" s="74">
        <v>1050000</v>
      </c>
    </row>
    <row r="178" spans="3:3" x14ac:dyDescent="0.25">
      <c r="C178" s="74">
        <v>3877333</v>
      </c>
    </row>
    <row r="179" spans="3:3" x14ac:dyDescent="0.25">
      <c r="C179" s="74">
        <v>6732440</v>
      </c>
    </row>
    <row r="180" spans="3:3" x14ac:dyDescent="0.25">
      <c r="C180" s="74">
        <v>3460000</v>
      </c>
    </row>
    <row r="181" spans="3:3" x14ac:dyDescent="0.25">
      <c r="C181" s="74">
        <v>588800</v>
      </c>
    </row>
    <row r="182" spans="3:3" x14ac:dyDescent="0.25">
      <c r="C182" s="74">
        <v>1868000</v>
      </c>
    </row>
    <row r="183" spans="3:3" x14ac:dyDescent="0.25">
      <c r="C183" s="74">
        <v>10313000</v>
      </c>
    </row>
    <row r="184" spans="3:3" x14ac:dyDescent="0.25">
      <c r="C184" s="74">
        <v>3443800</v>
      </c>
    </row>
    <row r="185" spans="3:3" x14ac:dyDescent="0.25">
      <c r="C185" s="74">
        <v>8136400</v>
      </c>
    </row>
    <row r="186" spans="3:3" x14ac:dyDescent="0.25">
      <c r="C186" s="74">
        <v>9675183</v>
      </c>
    </row>
    <row r="187" spans="3:3" x14ac:dyDescent="0.25">
      <c r="C187" s="74">
        <f>SUM(C171:C186)</f>
        <v>70598556</v>
      </c>
    </row>
  </sheetData>
  <mergeCells count="7">
    <mergeCell ref="D130:X130"/>
    <mergeCell ref="C1:U1"/>
    <mergeCell ref="E2:K2"/>
    <mergeCell ref="L2:T2"/>
    <mergeCell ref="A3:A40"/>
    <mergeCell ref="A41:A89"/>
    <mergeCell ref="E129:Q1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190"/>
  <sheetViews>
    <sheetView workbookViewId="0">
      <selection activeCell="J13" sqref="I13:J15"/>
    </sheetView>
  </sheetViews>
  <sheetFormatPr baseColWidth="10" defaultRowHeight="12" x14ac:dyDescent="0.25"/>
  <cols>
    <col min="1" max="1" width="10.42578125" style="65" customWidth="1"/>
    <col min="2" max="2" width="4.85546875" style="98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bestFit="1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116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B1" s="65"/>
      <c r="C1" s="228" t="s">
        <v>211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57"/>
      <c r="W1" s="94"/>
      <c r="X1" s="57"/>
    </row>
    <row r="2" spans="1:24" x14ac:dyDescent="0.25">
      <c r="B2" s="65"/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57"/>
      <c r="W2" s="94"/>
      <c r="X2" s="57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55"/>
      <c r="W3" s="95"/>
      <c r="X3" s="55" t="s">
        <v>29</v>
      </c>
    </row>
    <row r="4" spans="1:24" x14ac:dyDescent="0.25">
      <c r="A4" s="233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>
        <v>399000</v>
      </c>
      <c r="K4" s="22">
        <f t="shared" ref="K4:K29" si="0">SUM(G4:I4)+J4</f>
        <v>5214000</v>
      </c>
      <c r="L4" s="22">
        <f t="shared" ref="L4:L37" si="1">+G4*4%</f>
        <v>192600</v>
      </c>
      <c r="M4" s="22">
        <f>+G4*5%</f>
        <v>240750</v>
      </c>
      <c r="N4" s="22"/>
      <c r="O4" s="22">
        <v>77000</v>
      </c>
      <c r="P4" s="22">
        <v>19000</v>
      </c>
      <c r="Q4" s="22"/>
      <c r="R4" s="22"/>
      <c r="S4" s="22"/>
      <c r="T4" s="22">
        <f t="shared" ref="T4:T43" si="2">SUM(L4:S4)</f>
        <v>529350</v>
      </c>
      <c r="U4" s="23">
        <f>+K4-T4</f>
        <v>4684650</v>
      </c>
      <c r="V4" s="23"/>
      <c r="W4" s="64"/>
      <c r="X4" s="23">
        <f t="shared" ref="X4:X67" si="3">U4+V4-W4</f>
        <v>4684650</v>
      </c>
    </row>
    <row r="5" spans="1:24" ht="24" x14ac:dyDescent="0.25">
      <c r="A5" s="233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7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>
        <v>77000</v>
      </c>
      <c r="P7" s="25">
        <v>98000</v>
      </c>
      <c r="Q7" s="22"/>
      <c r="R7" s="22"/>
      <c r="S7" s="22">
        <v>726520</v>
      </c>
      <c r="T7" s="22">
        <f t="shared" si="2"/>
        <v>1395828.71</v>
      </c>
      <c r="U7" s="23">
        <f>+K7-T7</f>
        <v>4096490.29</v>
      </c>
      <c r="V7" s="23"/>
      <c r="W7" s="64"/>
      <c r="X7" s="23">
        <f t="shared" si="3"/>
        <v>4096490.29</v>
      </c>
    </row>
    <row r="8" spans="1:24" x14ac:dyDescent="0.25">
      <c r="A8" s="233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64"/>
      <c r="X8" s="23">
        <f t="shared" si="3"/>
        <v>6014299</v>
      </c>
    </row>
    <row r="9" spans="1:24" x14ac:dyDescent="0.25">
      <c r="A9" s="233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>
        <v>780000</v>
      </c>
      <c r="S10" s="22"/>
      <c r="T10" s="22">
        <f t="shared" ref="T10" si="7">SUM(L10:S10)</f>
        <v>1190000</v>
      </c>
      <c r="U10" s="23">
        <f>K10-T10</f>
        <v>3610000</v>
      </c>
      <c r="V10" s="23"/>
      <c r="W10" s="64"/>
      <c r="X10" s="23">
        <f t="shared" si="3"/>
        <v>3610000</v>
      </c>
    </row>
    <row r="11" spans="1:24" x14ac:dyDescent="0.25">
      <c r="A11" s="233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>
        <v>141899</v>
      </c>
      <c r="P11" s="22">
        <v>6248</v>
      </c>
      <c r="Q11" s="22"/>
      <c r="R11" s="22"/>
      <c r="S11" s="22"/>
      <c r="T11" s="22">
        <f t="shared" si="2"/>
        <v>598147</v>
      </c>
      <c r="U11" s="23">
        <f t="shared" ref="U11:U15" si="8">+K11-T11</f>
        <v>4537853</v>
      </c>
      <c r="V11" s="23"/>
      <c r="W11" s="64"/>
      <c r="X11" s="23">
        <f t="shared" si="3"/>
        <v>4537853</v>
      </c>
    </row>
    <row r="12" spans="1:24" ht="25.5" customHeight="1" x14ac:dyDescent="0.25">
      <c r="A12" s="233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64"/>
      <c r="X12" s="23">
        <f t="shared" si="3"/>
        <v>3942950</v>
      </c>
    </row>
    <row r="13" spans="1:24" x14ac:dyDescent="0.25">
      <c r="A13" s="233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64"/>
      <c r="X13" s="23">
        <f t="shared" si="3"/>
        <v>4092000</v>
      </c>
    </row>
    <row r="14" spans="1:24" x14ac:dyDescent="0.25">
      <c r="A14" s="233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64"/>
      <c r="X14" s="23">
        <f t="shared" si="3"/>
        <v>3790000</v>
      </c>
    </row>
    <row r="15" spans="1:24" x14ac:dyDescent="0.25">
      <c r="A15" s="233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64"/>
      <c r="X15" s="23">
        <f t="shared" si="3"/>
        <v>4904479</v>
      </c>
    </row>
    <row r="16" spans="1:24" ht="24" x14ac:dyDescent="0.25">
      <c r="A16" s="233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64"/>
      <c r="X16" s="23">
        <f t="shared" si="3"/>
        <v>5441248</v>
      </c>
    </row>
    <row r="17" spans="1:24" x14ac:dyDescent="0.25">
      <c r="A17" s="233"/>
      <c r="B17" s="26">
        <v>14</v>
      </c>
      <c r="C17" s="19" t="s">
        <v>56</v>
      </c>
      <c r="D17" s="20" t="s">
        <v>32</v>
      </c>
      <c r="E17" s="22">
        <v>6000000</v>
      </c>
      <c r="F17" s="22">
        <v>30</v>
      </c>
      <c r="G17" s="22">
        <f t="shared" ref="G17:G23" si="12">E17/30*F17</f>
        <v>6000000</v>
      </c>
      <c r="H17" s="22"/>
      <c r="I17" s="22"/>
      <c r="J17" s="22"/>
      <c r="K17" s="22">
        <f t="shared" si="0"/>
        <v>6000000</v>
      </c>
      <c r="L17" s="22">
        <f>+G17*4%</f>
        <v>240000</v>
      </c>
      <c r="M17" s="22">
        <f>+G17*5%</f>
        <v>300000</v>
      </c>
      <c r="N17" s="22"/>
      <c r="O17" s="22"/>
      <c r="P17" s="25">
        <v>241000</v>
      </c>
      <c r="Q17" s="22"/>
      <c r="R17" s="22"/>
      <c r="S17" s="22"/>
      <c r="T17" s="22">
        <f t="shared" si="2"/>
        <v>781000</v>
      </c>
      <c r="U17" s="23">
        <f>K17-T17</f>
        <v>5219000</v>
      </c>
      <c r="V17" s="23"/>
      <c r="W17" s="64"/>
      <c r="X17" s="23">
        <f t="shared" si="3"/>
        <v>5219000</v>
      </c>
    </row>
    <row r="18" spans="1:24" x14ac:dyDescent="0.25">
      <c r="A18" s="233"/>
      <c r="B18" s="26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ref="L18" si="14">+G18*4%</f>
        <v>220000</v>
      </c>
      <c r="M18" s="22">
        <f t="shared" ref="M18" si="15">+G18*5%</f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6">SUM(L18:S18)</f>
        <v>611000</v>
      </c>
      <c r="U18" s="23">
        <f>K18-T18</f>
        <v>5339000</v>
      </c>
      <c r="V18" s="23"/>
      <c r="W18" s="64"/>
      <c r="X18" s="23">
        <f t="shared" si="3"/>
        <v>5339000</v>
      </c>
    </row>
    <row r="19" spans="1:24" x14ac:dyDescent="0.25">
      <c r="A19" s="233"/>
      <c r="B19" s="26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64"/>
      <c r="X19" s="23">
        <f t="shared" si="3"/>
        <v>3995199</v>
      </c>
    </row>
    <row r="20" spans="1:24" x14ac:dyDescent="0.25">
      <c r="A20" s="233"/>
      <c r="B20" s="26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>
        <v>38500</v>
      </c>
      <c r="P20" s="25">
        <v>31000</v>
      </c>
      <c r="Q20" s="22"/>
      <c r="R20" s="22"/>
      <c r="S20" s="22"/>
      <c r="T20" s="22">
        <f t="shared" si="2"/>
        <v>429500.00000000006</v>
      </c>
      <c r="U20" s="23">
        <f>+K20-T20</f>
        <v>3570500.0000000005</v>
      </c>
      <c r="V20" s="23"/>
      <c r="W20" s="64"/>
      <c r="X20" s="23">
        <f t="shared" si="3"/>
        <v>3570500.0000000005</v>
      </c>
    </row>
    <row r="21" spans="1:24" x14ac:dyDescent="0.25">
      <c r="A21" s="233"/>
      <c r="B21" s="26">
        <v>18</v>
      </c>
      <c r="C21" s="19" t="s">
        <v>203</v>
      </c>
      <c r="D21" s="20" t="s">
        <v>32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7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8">SUM(L21:S21)</f>
        <v>590000</v>
      </c>
      <c r="U21" s="23">
        <f>+K21-T21</f>
        <v>4410000</v>
      </c>
      <c r="V21" s="23"/>
      <c r="W21" s="64"/>
      <c r="X21" s="23">
        <f t="shared" si="3"/>
        <v>4410000</v>
      </c>
    </row>
    <row r="22" spans="1:24" x14ac:dyDescent="0.25">
      <c r="A22" s="233"/>
      <c r="B22" s="26">
        <v>19</v>
      </c>
      <c r="C22" s="19" t="s">
        <v>62</v>
      </c>
      <c r="D22" s="20" t="s">
        <v>32</v>
      </c>
      <c r="E22" s="22">
        <v>5031675</v>
      </c>
      <c r="F22" s="22">
        <v>22</v>
      </c>
      <c r="G22" s="22">
        <f t="shared" si="12"/>
        <v>3689895</v>
      </c>
      <c r="H22" s="22"/>
      <c r="I22" s="22"/>
      <c r="J22" s="112">
        <v>1341780</v>
      </c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22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64"/>
      <c r="X22" s="23">
        <f t="shared" si="3"/>
        <v>4534824.25</v>
      </c>
    </row>
    <row r="23" spans="1:24" x14ac:dyDescent="0.25">
      <c r="A23" s="233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64"/>
      <c r="X23" s="23">
        <f t="shared" si="3"/>
        <v>4296000</v>
      </c>
    </row>
    <row r="24" spans="1:24" x14ac:dyDescent="0.25">
      <c r="A24" s="233"/>
      <c r="B24" s="26">
        <v>21</v>
      </c>
      <c r="C24" s="19" t="s">
        <v>65</v>
      </c>
      <c r="D24" s="20" t="s">
        <v>32</v>
      </c>
      <c r="E24" s="22">
        <v>4500000</v>
      </c>
      <c r="F24" s="22">
        <v>28</v>
      </c>
      <c r="G24" s="22">
        <f t="shared" ref="G24:G45" si="19">+E24/30*F24</f>
        <v>4200000</v>
      </c>
      <c r="H24" s="22"/>
      <c r="I24" s="22"/>
      <c r="J24" s="22">
        <v>300000</v>
      </c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64"/>
      <c r="X24" s="23">
        <f t="shared" si="3"/>
        <v>4022854</v>
      </c>
    </row>
    <row r="25" spans="1:24" x14ac:dyDescent="0.25">
      <c r="A25" s="233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9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20">+K26-T26</f>
        <v>4420146</v>
      </c>
      <c r="V26" s="23"/>
      <c r="W26" s="64"/>
      <c r="X26" s="23">
        <f t="shared" si="3"/>
        <v>4420146</v>
      </c>
    </row>
    <row r="27" spans="1:24" x14ac:dyDescent="0.25">
      <c r="A27" s="233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9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20"/>
        <v>3584143</v>
      </c>
      <c r="V27" s="23"/>
      <c r="W27" s="64"/>
      <c r="X27" s="23">
        <f t="shared" si="3"/>
        <v>3584143</v>
      </c>
    </row>
    <row r="28" spans="1:24" x14ac:dyDescent="0.25">
      <c r="A28" s="233"/>
      <c r="B28" s="26">
        <v>25</v>
      </c>
      <c r="C28" s="19" t="s">
        <v>91</v>
      </c>
      <c r="D28" s="20" t="s">
        <v>32</v>
      </c>
      <c r="E28" s="22">
        <v>4500000</v>
      </c>
      <c r="F28" s="22">
        <v>20</v>
      </c>
      <c r="G28" s="22">
        <f t="shared" si="19"/>
        <v>3000000</v>
      </c>
      <c r="H28" s="22"/>
      <c r="I28" s="22"/>
      <c r="J28" s="112">
        <v>1500000</v>
      </c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20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9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64"/>
      <c r="X29" s="23">
        <f t="shared" si="3"/>
        <v>3805644</v>
      </c>
    </row>
    <row r="30" spans="1:24" ht="24" x14ac:dyDescent="0.25">
      <c r="A30" s="233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2" si="21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9"/>
        <v>6900000</v>
      </c>
      <c r="H31" s="22"/>
      <c r="I31" s="22">
        <v>1500000</v>
      </c>
      <c r="J31" s="22">
        <v>76659</v>
      </c>
      <c r="K31" s="22">
        <f t="shared" si="21"/>
        <v>8476659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7510659</v>
      </c>
      <c r="V31" s="23"/>
      <c r="W31" s="64"/>
      <c r="X31" s="23">
        <f t="shared" si="3"/>
        <v>7510659</v>
      </c>
    </row>
    <row r="32" spans="1:24" x14ac:dyDescent="0.25">
      <c r="A32" s="233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9"/>
        <v>5000000</v>
      </c>
      <c r="H32" s="22"/>
      <c r="I32" s="22"/>
      <c r="J32" s="22"/>
      <c r="K32" s="22">
        <f t="shared" si="21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2">+K32-T32</f>
        <v>4410167</v>
      </c>
      <c r="V32" s="23"/>
      <c r="W32" s="64"/>
      <c r="X32" s="23">
        <f t="shared" si="3"/>
        <v>4410167</v>
      </c>
    </row>
    <row r="33" spans="1:24" x14ac:dyDescent="0.25">
      <c r="A33" s="233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9"/>
        <v>4000000.0000000005</v>
      </c>
      <c r="H33" s="22"/>
      <c r="I33" s="22"/>
      <c r="J33" s="22"/>
      <c r="K33" s="22">
        <f t="shared" si="21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515000</v>
      </c>
      <c r="T33" s="22">
        <f>SUM(L33:S33)</f>
        <v>875000</v>
      </c>
      <c r="U33" s="23">
        <f t="shared" si="22"/>
        <v>3125000.0000000005</v>
      </c>
      <c r="V33" s="23"/>
      <c r="W33" s="64"/>
      <c r="X33" s="23">
        <f t="shared" si="3"/>
        <v>3125000.0000000005</v>
      </c>
    </row>
    <row r="34" spans="1:24" ht="26.25" customHeight="1" x14ac:dyDescent="0.25">
      <c r="A34" s="233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9"/>
        <v>4500000</v>
      </c>
      <c r="H34" s="22"/>
      <c r="I34" s="22"/>
      <c r="J34" s="22"/>
      <c r="K34" s="22">
        <f t="shared" si="21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2"/>
        <v>3996000</v>
      </c>
      <c r="V34" s="23"/>
      <c r="W34" s="64"/>
      <c r="X34" s="23">
        <f t="shared" si="3"/>
        <v>3996000</v>
      </c>
    </row>
    <row r="35" spans="1:24" ht="26.25" customHeight="1" x14ac:dyDescent="0.25">
      <c r="A35" s="233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9"/>
        <v>4250000</v>
      </c>
      <c r="H35" s="22"/>
      <c r="I35" s="22"/>
      <c r="J35" s="22"/>
      <c r="K35" s="22">
        <f t="shared" ref="K35" si="23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4">SUM(L35:S35)</f>
        <v>420500</v>
      </c>
      <c r="U35" s="23">
        <f t="shared" si="22"/>
        <v>3829500</v>
      </c>
      <c r="V35" s="23"/>
      <c r="W35" s="64"/>
      <c r="X35" s="23">
        <f t="shared" si="3"/>
        <v>3829500</v>
      </c>
    </row>
    <row r="36" spans="1:24" ht="24" x14ac:dyDescent="0.25">
      <c r="A36" s="233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9"/>
        <v>3000000</v>
      </c>
      <c r="H36" s="22"/>
      <c r="I36" s="22"/>
      <c r="J36" s="22"/>
      <c r="K36" s="22">
        <f t="shared" si="21"/>
        <v>3000000</v>
      </c>
      <c r="L36" s="22">
        <f t="shared" si="1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2"/>
        <v>270000</v>
      </c>
      <c r="U36" s="23">
        <f t="shared" si="22"/>
        <v>2730000</v>
      </c>
      <c r="V36" s="23"/>
      <c r="W36" s="64"/>
      <c r="X36" s="23">
        <f t="shared" si="3"/>
        <v>2730000</v>
      </c>
    </row>
    <row r="37" spans="1:24" x14ac:dyDescent="0.25">
      <c r="A37" s="233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9"/>
        <v>4500000</v>
      </c>
      <c r="H37" s="22"/>
      <c r="I37" s="22">
        <v>300000</v>
      </c>
      <c r="J37" s="22"/>
      <c r="K37" s="22">
        <f t="shared" si="21"/>
        <v>4800000</v>
      </c>
      <c r="L37" s="22">
        <f t="shared" si="1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2"/>
        <v>413021</v>
      </c>
      <c r="U37" s="23">
        <f t="shared" si="22"/>
        <v>4386979</v>
      </c>
      <c r="V37" s="23"/>
      <c r="W37" s="64"/>
      <c r="X37" s="23">
        <f t="shared" si="3"/>
        <v>4386979</v>
      </c>
    </row>
    <row r="38" spans="1:24" ht="30.75" customHeight="1" x14ac:dyDescent="0.25">
      <c r="A38" s="233"/>
      <c r="B38" s="26">
        <v>35</v>
      </c>
      <c r="C38" s="19" t="s">
        <v>94</v>
      </c>
      <c r="D38" s="20" t="s">
        <v>32</v>
      </c>
      <c r="E38" s="22">
        <v>4815000</v>
      </c>
      <c r="F38" s="22">
        <v>30</v>
      </c>
      <c r="G38" s="22">
        <f t="shared" si="19"/>
        <v>4815000</v>
      </c>
      <c r="H38" s="22"/>
      <c r="I38" s="22">
        <v>350000</v>
      </c>
      <c r="J38" s="22">
        <f>+E38-G38</f>
        <v>0</v>
      </c>
      <c r="K38" s="22">
        <f t="shared" si="21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64"/>
      <c r="X38" s="23">
        <f t="shared" si="3"/>
        <v>4642650</v>
      </c>
    </row>
    <row r="39" spans="1:24" x14ac:dyDescent="0.25">
      <c r="A39" s="233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9"/>
        <v>6900000</v>
      </c>
      <c r="H39" s="22"/>
      <c r="I39" s="22"/>
      <c r="J39" s="22"/>
      <c r="K39" s="22">
        <f t="shared" si="21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64"/>
      <c r="X39" s="23">
        <f t="shared" si="3"/>
        <v>6060000</v>
      </c>
    </row>
    <row r="40" spans="1:24" x14ac:dyDescent="0.25">
      <c r="A40" s="234"/>
      <c r="B40" s="26">
        <v>37</v>
      </c>
      <c r="C40" s="19" t="s">
        <v>98</v>
      </c>
      <c r="D40" s="20" t="s">
        <v>32</v>
      </c>
      <c r="E40" s="22">
        <v>4000000</v>
      </c>
      <c r="F40" s="22">
        <v>22</v>
      </c>
      <c r="G40" s="22">
        <f t="shared" si="19"/>
        <v>2933333.3333333335</v>
      </c>
      <c r="H40" s="22"/>
      <c r="I40" s="22"/>
      <c r="J40" s="112">
        <v>1066667</v>
      </c>
      <c r="K40" s="22">
        <f t="shared" si="21"/>
        <v>4000000.3333333335</v>
      </c>
      <c r="L40" s="22">
        <v>160000</v>
      </c>
      <c r="M40" s="22">
        <v>200000</v>
      </c>
      <c r="N40" s="22"/>
      <c r="O40" s="22"/>
      <c r="P40" s="22">
        <v>31000</v>
      </c>
      <c r="Q40" s="22"/>
      <c r="R40" s="22"/>
      <c r="S40" s="22"/>
      <c r="T40" s="22">
        <f t="shared" si="2"/>
        <v>391000</v>
      </c>
      <c r="U40" s="23">
        <f>K40-T40</f>
        <v>3609000.3333333335</v>
      </c>
      <c r="V40" s="23"/>
      <c r="W40" s="64"/>
      <c r="X40" s="23">
        <f t="shared" si="3"/>
        <v>3609000.3333333335</v>
      </c>
    </row>
    <row r="41" spans="1:24" x14ac:dyDescent="0.25">
      <c r="A41" s="235" t="s">
        <v>99</v>
      </c>
      <c r="B41" s="26">
        <v>1</v>
      </c>
      <c r="C41" s="19" t="s">
        <v>100</v>
      </c>
      <c r="D41" s="20" t="s">
        <v>32</v>
      </c>
      <c r="E41" s="22">
        <v>3000000</v>
      </c>
      <c r="F41" s="22">
        <v>30</v>
      </c>
      <c r="G41" s="22">
        <f t="shared" si="19"/>
        <v>3000000</v>
      </c>
      <c r="H41" s="22"/>
      <c r="I41" s="22">
        <v>250000</v>
      </c>
      <c r="J41" s="22">
        <f>+E41-G41</f>
        <v>0</v>
      </c>
      <c r="K41" s="22">
        <f t="shared" si="21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64"/>
      <c r="X41" s="23">
        <f t="shared" si="3"/>
        <v>2663711</v>
      </c>
    </row>
    <row r="42" spans="1:24" ht="25.5" customHeight="1" x14ac:dyDescent="0.25">
      <c r="A42" s="235"/>
      <c r="B42" s="26">
        <v>2</v>
      </c>
      <c r="C42" s="19" t="s">
        <v>103</v>
      </c>
      <c r="D42" s="20" t="s">
        <v>32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>
        <v>200000</v>
      </c>
      <c r="K42" s="22">
        <f t="shared" si="21"/>
        <v>889455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889455</v>
      </c>
      <c r="V42" s="23"/>
      <c r="W42" s="64"/>
      <c r="X42" s="23">
        <f t="shared" si="3"/>
        <v>889455</v>
      </c>
    </row>
    <row r="43" spans="1:24" x14ac:dyDescent="0.25">
      <c r="A43" s="235"/>
      <c r="B43" s="26">
        <v>3</v>
      </c>
      <c r="C43" s="30" t="s">
        <v>180</v>
      </c>
      <c r="D43" s="26" t="s">
        <v>32</v>
      </c>
      <c r="E43" s="22">
        <v>1200000</v>
      </c>
      <c r="F43" s="22">
        <v>30</v>
      </c>
      <c r="G43" s="22">
        <f t="shared" ref="G43" si="25">+E43/30*F43</f>
        <v>1200000</v>
      </c>
      <c r="H43" s="22">
        <f>+(77700/30)*F43</f>
        <v>77700</v>
      </c>
      <c r="I43" s="22"/>
      <c r="J43" s="22"/>
      <c r="K43" s="22">
        <f t="shared" ref="K43" si="26">SUM(G43:I43)+J43</f>
        <v>1277700</v>
      </c>
      <c r="L43" s="22">
        <f t="shared" ref="L43:L45" si="27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64"/>
      <c r="X43" s="23">
        <f t="shared" si="3"/>
        <v>1181700</v>
      </c>
    </row>
    <row r="44" spans="1:24" ht="18" customHeight="1" x14ac:dyDescent="0.25">
      <c r="A44" s="235"/>
      <c r="B44" s="26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9"/>
        <v>689455</v>
      </c>
      <c r="H44" s="22">
        <v>77700</v>
      </c>
      <c r="I44" s="22"/>
      <c r="J44" s="22"/>
      <c r="K44" s="22">
        <f t="shared" si="21"/>
        <v>767155</v>
      </c>
      <c r="L44" s="22">
        <f t="shared" si="27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7" si="28">SUM(L44:S44)</f>
        <v>55156.4</v>
      </c>
      <c r="U44" s="23">
        <f>+K44-T44</f>
        <v>711998.6</v>
      </c>
      <c r="V44" s="23"/>
      <c r="W44" s="64"/>
      <c r="X44" s="23">
        <f t="shared" si="3"/>
        <v>711998.6</v>
      </c>
    </row>
    <row r="45" spans="1:24" x14ac:dyDescent="0.25">
      <c r="A45" s="235"/>
      <c r="B45" s="26">
        <v>5</v>
      </c>
      <c r="C45" s="30" t="s">
        <v>181</v>
      </c>
      <c r="D45" s="26" t="s">
        <v>32</v>
      </c>
      <c r="E45" s="22">
        <v>1200000</v>
      </c>
      <c r="F45" s="22">
        <v>30</v>
      </c>
      <c r="G45" s="22">
        <f t="shared" si="19"/>
        <v>1200000</v>
      </c>
      <c r="H45" s="22">
        <f>+(77700/30)*F45</f>
        <v>77700</v>
      </c>
      <c r="I45" s="22"/>
      <c r="J45" s="22"/>
      <c r="K45" s="22">
        <f t="shared" ref="K45" si="29">SUM(G45:I45)+J45</f>
        <v>1277700</v>
      </c>
      <c r="L45" s="22">
        <f t="shared" si="27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8"/>
        <v>96000</v>
      </c>
      <c r="U45" s="23">
        <f>K45-T45</f>
        <v>1181700</v>
      </c>
      <c r="V45" s="23"/>
      <c r="W45" s="64"/>
      <c r="X45" s="23">
        <f t="shared" si="3"/>
        <v>1181700</v>
      </c>
    </row>
    <row r="46" spans="1:24" x14ac:dyDescent="0.25">
      <c r="A46" s="235"/>
      <c r="B46" s="26">
        <v>6</v>
      </c>
      <c r="C46" s="19" t="s">
        <v>104</v>
      </c>
      <c r="D46" s="20" t="s">
        <v>105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21"/>
        <v>1177700</v>
      </c>
      <c r="L46" s="22">
        <v>44000</v>
      </c>
      <c r="M46" s="22">
        <v>44000</v>
      </c>
      <c r="N46" s="22"/>
      <c r="O46" s="22">
        <v>38500</v>
      </c>
      <c r="P46" s="25"/>
      <c r="Q46" s="22"/>
      <c r="R46" s="22"/>
      <c r="S46" s="22"/>
      <c r="T46" s="22">
        <f>SUM(L46:S46)</f>
        <v>126500</v>
      </c>
      <c r="U46" s="23">
        <f>+K46-T46</f>
        <v>1051200</v>
      </c>
      <c r="V46" s="23"/>
      <c r="W46" s="64"/>
      <c r="X46" s="23">
        <f t="shared" si="3"/>
        <v>1051200</v>
      </c>
    </row>
    <row r="47" spans="1:24" ht="24" x14ac:dyDescent="0.25">
      <c r="A47" s="235"/>
      <c r="B47" s="26">
        <v>7</v>
      </c>
      <c r="C47" s="19" t="s">
        <v>212</v>
      </c>
      <c r="D47" s="20" t="s">
        <v>32</v>
      </c>
      <c r="E47" s="22">
        <v>1100000</v>
      </c>
      <c r="F47" s="22">
        <v>19</v>
      </c>
      <c r="G47" s="22">
        <f t="shared" ref="G47" si="30">+E47/30*F47</f>
        <v>696666.66666666663</v>
      </c>
      <c r="H47" s="22">
        <v>49210</v>
      </c>
      <c r="I47" s="22"/>
      <c r="J47" s="22"/>
      <c r="K47" s="22">
        <f t="shared" ref="K47" si="31">SUM(G47:I47)+J47</f>
        <v>745876.66666666663</v>
      </c>
      <c r="L47" s="22">
        <f t="shared" ref="L47:L54" si="32">+G47*4%</f>
        <v>27866.666666666664</v>
      </c>
      <c r="M47" s="22">
        <f t="shared" ref="M47:M54" si="33">+G47*4%</f>
        <v>27866.666666666664</v>
      </c>
      <c r="N47" s="22"/>
      <c r="O47" s="22"/>
      <c r="P47" s="25"/>
      <c r="Q47" s="22"/>
      <c r="R47" s="22"/>
      <c r="S47" s="22"/>
      <c r="T47" s="22">
        <f t="shared" ref="T47" si="34">SUM(L47:S47)</f>
        <v>55733.333333333328</v>
      </c>
      <c r="U47" s="23">
        <f t="shared" ref="U47:U54" si="35">+K47-T47</f>
        <v>690143.33333333326</v>
      </c>
      <c r="V47" s="23"/>
      <c r="W47" s="64"/>
      <c r="X47" s="23">
        <f t="shared" si="3"/>
        <v>690143.33333333326</v>
      </c>
    </row>
    <row r="48" spans="1:24" ht="21.75" customHeight="1" x14ac:dyDescent="0.25">
      <c r="A48" s="235"/>
      <c r="B48" s="26">
        <v>8</v>
      </c>
      <c r="C48" s="19" t="s">
        <v>106</v>
      </c>
      <c r="D48" s="20" t="s">
        <v>32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21"/>
        <v>1177700</v>
      </c>
      <c r="L48" s="22">
        <f t="shared" si="32"/>
        <v>44000</v>
      </c>
      <c r="M48" s="22">
        <f t="shared" si="33"/>
        <v>44000</v>
      </c>
      <c r="N48" s="22"/>
      <c r="O48" s="22">
        <v>38500</v>
      </c>
      <c r="P48" s="22">
        <v>0</v>
      </c>
      <c r="Q48" s="22"/>
      <c r="R48" s="22"/>
      <c r="S48" s="22"/>
      <c r="T48" s="22">
        <f t="shared" si="28"/>
        <v>126500</v>
      </c>
      <c r="U48" s="23">
        <f t="shared" si="35"/>
        <v>1051200</v>
      </c>
      <c r="V48" s="23"/>
      <c r="W48" s="64"/>
      <c r="X48" s="23">
        <f t="shared" si="3"/>
        <v>1051200</v>
      </c>
    </row>
    <row r="49" spans="1:27" x14ac:dyDescent="0.25">
      <c r="A49" s="235"/>
      <c r="B49" s="26">
        <v>9</v>
      </c>
      <c r="C49" s="19" t="s">
        <v>182</v>
      </c>
      <c r="D49" s="20" t="s">
        <v>32</v>
      </c>
      <c r="E49" s="22">
        <v>689454</v>
      </c>
      <c r="F49" s="22">
        <v>30</v>
      </c>
      <c r="G49" s="22">
        <f t="shared" ref="G49" si="36">+E49/30*F49</f>
        <v>689454</v>
      </c>
      <c r="H49" s="22">
        <v>77700</v>
      </c>
      <c r="I49" s="22"/>
      <c r="J49" s="22"/>
      <c r="K49" s="22">
        <f t="shared" ref="K49" si="37">SUM(G49:I49)+J49</f>
        <v>767154</v>
      </c>
      <c r="L49" s="22">
        <f t="shared" si="32"/>
        <v>27578.16</v>
      </c>
      <c r="M49" s="22">
        <f t="shared" si="33"/>
        <v>27578.16</v>
      </c>
      <c r="N49" s="22"/>
      <c r="O49" s="22"/>
      <c r="P49" s="25"/>
      <c r="Q49" s="22"/>
      <c r="R49" s="22"/>
      <c r="S49" s="22"/>
      <c r="T49" s="22">
        <f t="shared" si="28"/>
        <v>55156.32</v>
      </c>
      <c r="U49" s="23">
        <f t="shared" si="35"/>
        <v>711997.68</v>
      </c>
      <c r="V49" s="23"/>
      <c r="W49" s="64"/>
      <c r="X49" s="23">
        <f t="shared" si="3"/>
        <v>711997.68</v>
      </c>
    </row>
    <row r="50" spans="1:27" ht="17.25" customHeight="1" x14ac:dyDescent="0.25">
      <c r="A50" s="235"/>
      <c r="B50" s="26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>
        <v>500000</v>
      </c>
      <c r="J50" s="22"/>
      <c r="K50" s="22">
        <f t="shared" ref="K50" si="38">SUM(G50:I50)+J50</f>
        <v>4000000</v>
      </c>
      <c r="L50" s="22">
        <f t="shared" si="32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9">SUM(L50:S50)</f>
        <v>315000</v>
      </c>
      <c r="U50" s="23">
        <f t="shared" si="35"/>
        <v>3685000</v>
      </c>
      <c r="V50" s="23"/>
      <c r="W50" s="64"/>
      <c r="X50" s="23">
        <f t="shared" si="3"/>
        <v>3685000</v>
      </c>
    </row>
    <row r="51" spans="1:27" ht="17.25" customHeight="1" x14ac:dyDescent="0.25">
      <c r="A51" s="235"/>
      <c r="B51" s="26">
        <v>11</v>
      </c>
      <c r="C51" s="19" t="s">
        <v>107</v>
      </c>
      <c r="D51" s="20" t="s">
        <v>32</v>
      </c>
      <c r="E51" s="22">
        <v>1500000</v>
      </c>
      <c r="F51" s="22">
        <v>30</v>
      </c>
      <c r="G51" s="22">
        <f>(E51/30*F51)</f>
        <v>1500000</v>
      </c>
      <c r="H51" s="22"/>
      <c r="I51" s="22"/>
      <c r="J51" s="22"/>
      <c r="K51" s="22">
        <f t="shared" si="21"/>
        <v>1500000</v>
      </c>
      <c r="L51" s="22">
        <f>+E51*4%</f>
        <v>60000</v>
      </c>
      <c r="M51" s="22">
        <v>60000</v>
      </c>
      <c r="N51" s="22"/>
      <c r="O51" s="22"/>
      <c r="P51" s="22">
        <v>0</v>
      </c>
      <c r="Q51" s="22"/>
      <c r="R51" s="22"/>
      <c r="S51" s="22"/>
      <c r="T51" s="22">
        <f t="shared" si="28"/>
        <v>120000</v>
      </c>
      <c r="U51" s="23">
        <f t="shared" si="35"/>
        <v>1380000</v>
      </c>
      <c r="V51" s="23"/>
      <c r="W51" s="64"/>
      <c r="X51" s="23">
        <f t="shared" si="3"/>
        <v>1380000</v>
      </c>
    </row>
    <row r="52" spans="1:27" ht="17.25" customHeight="1" x14ac:dyDescent="0.25">
      <c r="A52" s="235"/>
      <c r="B52" s="26">
        <v>12</v>
      </c>
      <c r="C52" s="19" t="s">
        <v>201</v>
      </c>
      <c r="D52" s="20" t="s">
        <v>32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40">SUM(G52:I52)+J52</f>
        <v>1077700</v>
      </c>
      <c r="L52" s="22">
        <f t="shared" ref="L52:L53" si="41">+G52*4%</f>
        <v>40000.000000000007</v>
      </c>
      <c r="M52" s="22">
        <f t="shared" ref="M52:M53" si="42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8"/>
        <v>80000.000000000015</v>
      </c>
      <c r="U52" s="23">
        <f t="shared" si="35"/>
        <v>997700</v>
      </c>
      <c r="V52" s="23"/>
      <c r="W52" s="64"/>
      <c r="X52" s="23">
        <f t="shared" si="3"/>
        <v>997700</v>
      </c>
    </row>
    <row r="53" spans="1:27" ht="17.25" customHeight="1" x14ac:dyDescent="0.25">
      <c r="A53" s="235"/>
      <c r="B53" s="26">
        <v>13</v>
      </c>
      <c r="C53" s="19" t="s">
        <v>209</v>
      </c>
      <c r="D53" s="20" t="s">
        <v>32</v>
      </c>
      <c r="E53" s="22">
        <v>689455</v>
      </c>
      <c r="F53" s="22">
        <v>30</v>
      </c>
      <c r="G53" s="22">
        <f>E53/30*F53</f>
        <v>689455</v>
      </c>
      <c r="H53" s="22"/>
      <c r="I53" s="22"/>
      <c r="J53" s="22"/>
      <c r="K53" s="22">
        <f t="shared" ref="K53" si="43">SUM(G53:I53)+J53</f>
        <v>689455</v>
      </c>
      <c r="L53" s="22">
        <f t="shared" si="41"/>
        <v>27578.2</v>
      </c>
      <c r="M53" s="22">
        <f t="shared" si="42"/>
        <v>27578.2</v>
      </c>
      <c r="N53" s="22"/>
      <c r="O53" s="22"/>
      <c r="P53" s="22">
        <v>0</v>
      </c>
      <c r="Q53" s="22"/>
      <c r="R53" s="22"/>
      <c r="S53" s="22"/>
      <c r="T53" s="22">
        <f t="shared" ref="T53" si="44">SUM(L53:S53)</f>
        <v>55156.4</v>
      </c>
      <c r="U53" s="23">
        <f t="shared" si="35"/>
        <v>634298.6</v>
      </c>
      <c r="V53" s="23"/>
      <c r="W53" s="64"/>
      <c r="X53" s="23"/>
    </row>
    <row r="54" spans="1:27" ht="24" x14ac:dyDescent="0.25">
      <c r="A54" s="235"/>
      <c r="B54" s="26">
        <v>14</v>
      </c>
      <c r="C54" s="19" t="s">
        <v>109</v>
      </c>
      <c r="D54" s="20" t="s">
        <v>32</v>
      </c>
      <c r="E54" s="22">
        <v>1200000</v>
      </c>
      <c r="F54" s="22">
        <v>30</v>
      </c>
      <c r="G54" s="22">
        <f>E54/30*F54</f>
        <v>1200000</v>
      </c>
      <c r="H54" s="22">
        <v>77700</v>
      </c>
      <c r="I54" s="22"/>
      <c r="J54" s="22"/>
      <c r="K54" s="22">
        <f t="shared" si="21"/>
        <v>1277700</v>
      </c>
      <c r="L54" s="22">
        <f t="shared" si="32"/>
        <v>48000</v>
      </c>
      <c r="M54" s="22">
        <f t="shared" si="33"/>
        <v>48000</v>
      </c>
      <c r="N54" s="22"/>
      <c r="O54" s="22"/>
      <c r="P54" s="22">
        <v>0</v>
      </c>
      <c r="Q54" s="22"/>
      <c r="R54" s="22"/>
      <c r="S54" s="22"/>
      <c r="T54" s="22">
        <f t="shared" si="28"/>
        <v>96000</v>
      </c>
      <c r="U54" s="23">
        <f t="shared" si="35"/>
        <v>1181700</v>
      </c>
      <c r="V54" s="23"/>
      <c r="W54" s="64"/>
      <c r="X54" s="23">
        <f t="shared" si="3"/>
        <v>1181700</v>
      </c>
    </row>
    <row r="55" spans="1:27" x14ac:dyDescent="0.25">
      <c r="A55" s="235"/>
      <c r="B55" s="26">
        <v>15</v>
      </c>
      <c r="C55" s="30" t="s">
        <v>111</v>
      </c>
      <c r="D55" s="26" t="s">
        <v>32</v>
      </c>
      <c r="E55" s="22">
        <v>3000000</v>
      </c>
      <c r="F55" s="22">
        <v>30</v>
      </c>
      <c r="G55" s="22">
        <f>+E55/30*F55</f>
        <v>3000000</v>
      </c>
      <c r="H55" s="22"/>
      <c r="I55" s="22"/>
      <c r="J55" s="22"/>
      <c r="K55" s="22">
        <f t="shared" si="21"/>
        <v>3000000</v>
      </c>
      <c r="L55" s="22">
        <f>+G55*4%</f>
        <v>120000</v>
      </c>
      <c r="M55" s="22">
        <f>+G55*5%</f>
        <v>150000</v>
      </c>
      <c r="N55" s="22"/>
      <c r="O55" s="22"/>
      <c r="P55" s="22">
        <v>0</v>
      </c>
      <c r="Q55" s="22"/>
      <c r="R55" s="22"/>
      <c r="S55" s="22"/>
      <c r="T55" s="22">
        <f t="shared" si="28"/>
        <v>270000</v>
      </c>
      <c r="U55" s="23">
        <f t="shared" ref="U55:U64" si="45">K55-T55</f>
        <v>2730000</v>
      </c>
      <c r="V55" s="23"/>
      <c r="W55" s="64"/>
      <c r="X55" s="23">
        <f t="shared" si="3"/>
        <v>2730000</v>
      </c>
    </row>
    <row r="56" spans="1:27" x14ac:dyDescent="0.25">
      <c r="A56" s="235"/>
      <c r="B56" s="26">
        <v>16</v>
      </c>
      <c r="C56" s="19" t="s">
        <v>113</v>
      </c>
      <c r="D56" s="20" t="s">
        <v>32</v>
      </c>
      <c r="E56" s="22">
        <v>2500000</v>
      </c>
      <c r="F56" s="22">
        <v>30</v>
      </c>
      <c r="G56" s="22">
        <f>+E56/30*F56</f>
        <v>2500000</v>
      </c>
      <c r="H56" s="22"/>
      <c r="I56" s="22">
        <v>500000</v>
      </c>
      <c r="J56" s="22">
        <v>2012890</v>
      </c>
      <c r="K56" s="22">
        <f t="shared" si="21"/>
        <v>5012890</v>
      </c>
      <c r="L56" s="22">
        <v>100000</v>
      </c>
      <c r="M56" s="22">
        <v>100000</v>
      </c>
      <c r="N56" s="22"/>
      <c r="O56" s="22"/>
      <c r="P56" s="22">
        <v>0</v>
      </c>
      <c r="Q56" s="22"/>
      <c r="R56" s="22"/>
      <c r="S56" s="22">
        <v>766228</v>
      </c>
      <c r="T56" s="22">
        <f t="shared" si="28"/>
        <v>966228</v>
      </c>
      <c r="U56" s="23">
        <f t="shared" si="45"/>
        <v>4046662</v>
      </c>
      <c r="V56" s="23"/>
      <c r="W56" s="64"/>
      <c r="X56" s="23">
        <f t="shared" si="3"/>
        <v>4046662</v>
      </c>
    </row>
    <row r="57" spans="1:27" x14ac:dyDescent="0.25">
      <c r="A57" s="235"/>
      <c r="B57" s="26">
        <v>17</v>
      </c>
      <c r="C57" s="19" t="s">
        <v>115</v>
      </c>
      <c r="D57" s="20" t="s">
        <v>32</v>
      </c>
      <c r="E57" s="22">
        <v>344727</v>
      </c>
      <c r="F57" s="22">
        <v>30</v>
      </c>
      <c r="G57" s="22">
        <f t="shared" ref="G57" si="46">+E57/30*F57</f>
        <v>344727</v>
      </c>
      <c r="H57" s="22"/>
      <c r="I57" s="22"/>
      <c r="J57" s="22"/>
      <c r="K57" s="22">
        <f t="shared" si="21"/>
        <v>344727</v>
      </c>
      <c r="L57" s="22"/>
      <c r="M57" s="22"/>
      <c r="N57" s="22"/>
      <c r="O57" s="22"/>
      <c r="P57" s="22"/>
      <c r="Q57" s="22"/>
      <c r="R57" s="22"/>
      <c r="S57" s="22"/>
      <c r="T57" s="22">
        <f t="shared" si="28"/>
        <v>0</v>
      </c>
      <c r="U57" s="23">
        <f t="shared" si="45"/>
        <v>344727</v>
      </c>
      <c r="V57" s="23"/>
      <c r="W57" s="64"/>
      <c r="X57" s="23">
        <f t="shared" si="3"/>
        <v>344727</v>
      </c>
    </row>
    <row r="58" spans="1:27" ht="17.25" customHeight="1" x14ac:dyDescent="0.25">
      <c r="A58" s="235"/>
      <c r="B58" s="26">
        <v>18</v>
      </c>
      <c r="C58" s="19" t="s">
        <v>116</v>
      </c>
      <c r="D58" s="20" t="s">
        <v>32</v>
      </c>
      <c r="E58" s="22">
        <v>3000000</v>
      </c>
      <c r="F58" s="22">
        <v>30</v>
      </c>
      <c r="G58" s="22">
        <f>E58/30*F58</f>
        <v>3000000</v>
      </c>
      <c r="H58" s="22"/>
      <c r="I58" s="22"/>
      <c r="J58" s="22">
        <f>+E58-G58</f>
        <v>0</v>
      </c>
      <c r="K58" s="22">
        <f t="shared" si="21"/>
        <v>3000000</v>
      </c>
      <c r="L58" s="22">
        <v>120000</v>
      </c>
      <c r="M58" s="22">
        <v>150000</v>
      </c>
      <c r="N58" s="22"/>
      <c r="O58" s="22"/>
      <c r="P58" s="22">
        <v>0</v>
      </c>
      <c r="Q58" s="22"/>
      <c r="R58" s="22"/>
      <c r="S58" s="22">
        <v>322019</v>
      </c>
      <c r="T58" s="22">
        <f t="shared" si="28"/>
        <v>592019</v>
      </c>
      <c r="U58" s="23">
        <f t="shared" si="45"/>
        <v>2407981</v>
      </c>
      <c r="V58" s="23"/>
      <c r="W58" s="64"/>
      <c r="X58" s="23">
        <f t="shared" si="3"/>
        <v>2407981</v>
      </c>
    </row>
    <row r="59" spans="1:27" ht="17.25" customHeight="1" x14ac:dyDescent="0.25">
      <c r="A59" s="235"/>
      <c r="B59" s="26">
        <v>19</v>
      </c>
      <c r="C59" s="19" t="s">
        <v>204</v>
      </c>
      <c r="D59" s="20" t="s">
        <v>32</v>
      </c>
      <c r="E59" s="22">
        <v>689455</v>
      </c>
      <c r="F59" s="22">
        <v>30</v>
      </c>
      <c r="G59" s="22">
        <f>E59/30*F59</f>
        <v>689455</v>
      </c>
      <c r="H59" s="22">
        <f>+(77700/30)*F59</f>
        <v>77700</v>
      </c>
      <c r="I59" s="22"/>
      <c r="J59" s="22"/>
      <c r="K59" s="22">
        <f t="shared" ref="K59:K60" si="47">SUM(G59:I59)+J59</f>
        <v>767155</v>
      </c>
      <c r="L59" s="22">
        <f t="shared" ref="L59:L63" si="48">+G59*4%</f>
        <v>27578.2</v>
      </c>
      <c r="M59" s="22">
        <f>+G59*4%</f>
        <v>27578.2</v>
      </c>
      <c r="N59" s="22"/>
      <c r="O59" s="22"/>
      <c r="P59" s="22"/>
      <c r="Q59" s="22"/>
      <c r="R59" s="22"/>
      <c r="S59" s="22"/>
      <c r="T59" s="22">
        <f t="shared" si="28"/>
        <v>55156.4</v>
      </c>
      <c r="U59" s="23">
        <f t="shared" si="45"/>
        <v>711998.6</v>
      </c>
      <c r="V59" s="23"/>
      <c r="W59" s="64"/>
      <c r="X59" s="23">
        <f t="shared" si="3"/>
        <v>711998.6</v>
      </c>
    </row>
    <row r="60" spans="1:27" ht="17.25" customHeight="1" x14ac:dyDescent="0.25">
      <c r="A60" s="235"/>
      <c r="B60" s="26">
        <v>20</v>
      </c>
      <c r="C60" s="19" t="s">
        <v>213</v>
      </c>
      <c r="D60" s="20" t="s">
        <v>32</v>
      </c>
      <c r="E60" s="22">
        <v>900000</v>
      </c>
      <c r="F60" s="22">
        <v>16</v>
      </c>
      <c r="G60" s="22">
        <f>E60/30*F60</f>
        <v>480000</v>
      </c>
      <c r="H60" s="22"/>
      <c r="I60" s="22"/>
      <c r="J60" s="22"/>
      <c r="K60" s="22">
        <f t="shared" si="47"/>
        <v>480000</v>
      </c>
      <c r="L60" s="22">
        <f t="shared" si="48"/>
        <v>19200</v>
      </c>
      <c r="M60" s="22">
        <f>+G60*4%</f>
        <v>19200</v>
      </c>
      <c r="N60" s="22"/>
      <c r="O60" s="22"/>
      <c r="P60" s="22"/>
      <c r="Q60" s="22"/>
      <c r="R60" s="22"/>
      <c r="S60" s="22"/>
      <c r="T60" s="22">
        <f t="shared" si="28"/>
        <v>38400</v>
      </c>
      <c r="U60" s="23">
        <f>K60-T60</f>
        <v>441600</v>
      </c>
      <c r="V60" s="23"/>
      <c r="W60" s="64"/>
      <c r="X60" s="23">
        <f t="shared" si="3"/>
        <v>441600</v>
      </c>
    </row>
    <row r="61" spans="1:27" ht="15.75" customHeight="1" x14ac:dyDescent="0.25">
      <c r="A61" s="235"/>
      <c r="B61" s="26">
        <v>21</v>
      </c>
      <c r="C61" s="19" t="s">
        <v>118</v>
      </c>
      <c r="D61" s="20" t="s">
        <v>32</v>
      </c>
      <c r="E61" s="22">
        <v>2000000</v>
      </c>
      <c r="F61" s="22">
        <v>30</v>
      </c>
      <c r="G61" s="22">
        <f>(E61/30*F61)</f>
        <v>2000000.0000000002</v>
      </c>
      <c r="H61" s="22"/>
      <c r="I61" s="22"/>
      <c r="J61" s="22"/>
      <c r="K61" s="22">
        <f t="shared" si="21"/>
        <v>2000000.0000000002</v>
      </c>
      <c r="L61" s="22">
        <f t="shared" si="48"/>
        <v>80000.000000000015</v>
      </c>
      <c r="M61" s="22">
        <f>+G61*4%</f>
        <v>80000.000000000015</v>
      </c>
      <c r="N61" s="22"/>
      <c r="O61" s="22"/>
      <c r="P61" s="22">
        <v>0</v>
      </c>
      <c r="Q61" s="22"/>
      <c r="R61" s="22"/>
      <c r="S61" s="22">
        <v>254624</v>
      </c>
      <c r="T61" s="22">
        <f t="shared" si="28"/>
        <v>414624</v>
      </c>
      <c r="U61" s="23">
        <f t="shared" si="45"/>
        <v>1585376.0000000002</v>
      </c>
      <c r="V61" s="23"/>
      <c r="W61" s="64"/>
      <c r="X61" s="23">
        <f t="shared" si="3"/>
        <v>1585376.0000000002</v>
      </c>
      <c r="AA61" s="65">
        <f>1196000+644000</f>
        <v>1840000</v>
      </c>
    </row>
    <row r="62" spans="1:27" ht="15.75" customHeight="1" x14ac:dyDescent="0.25">
      <c r="A62" s="235"/>
      <c r="B62" s="26">
        <v>22</v>
      </c>
      <c r="C62" s="19" t="s">
        <v>210</v>
      </c>
      <c r="D62" s="20" t="s">
        <v>32</v>
      </c>
      <c r="E62" s="22">
        <v>2000000</v>
      </c>
      <c r="F62" s="22">
        <v>30</v>
      </c>
      <c r="G62" s="22">
        <f>(E62/30*F62)</f>
        <v>2000000.0000000002</v>
      </c>
      <c r="H62" s="22"/>
      <c r="I62" s="22"/>
      <c r="J62" s="22">
        <v>90000</v>
      </c>
      <c r="K62" s="22">
        <f t="shared" ref="K62" si="49">SUM(G62:I62)+J62</f>
        <v>2090000.0000000002</v>
      </c>
      <c r="L62" s="22">
        <f t="shared" si="48"/>
        <v>80000.000000000015</v>
      </c>
      <c r="M62" s="22">
        <f>+G62*4%</f>
        <v>80000.000000000015</v>
      </c>
      <c r="N62" s="22"/>
      <c r="O62" s="22">
        <v>38500</v>
      </c>
      <c r="P62" s="22">
        <v>0</v>
      </c>
      <c r="Q62" s="22"/>
      <c r="R62" s="22"/>
      <c r="S62" s="22"/>
      <c r="T62" s="22">
        <f t="shared" ref="T62" si="50">SUM(L62:S62)</f>
        <v>198500.00000000003</v>
      </c>
      <c r="U62" s="23">
        <f t="shared" si="45"/>
        <v>1891500.0000000002</v>
      </c>
      <c r="V62" s="23"/>
      <c r="W62" s="64"/>
      <c r="X62" s="23">
        <f t="shared" si="3"/>
        <v>1891500.0000000002</v>
      </c>
    </row>
    <row r="63" spans="1:27" x14ac:dyDescent="0.25">
      <c r="A63" s="235"/>
      <c r="B63" s="26">
        <v>23</v>
      </c>
      <c r="C63" s="19" t="s">
        <v>196</v>
      </c>
      <c r="D63" s="20" t="s">
        <v>105</v>
      </c>
      <c r="E63" s="22">
        <v>689455</v>
      </c>
      <c r="F63" s="22">
        <v>30</v>
      </c>
      <c r="G63" s="22">
        <f>+E63/30*F63</f>
        <v>689455</v>
      </c>
      <c r="H63" s="22">
        <v>77700</v>
      </c>
      <c r="I63" s="22"/>
      <c r="J63" s="22"/>
      <c r="K63" s="22">
        <f t="shared" ref="K63" si="51">SUM(G63:I63)+J63</f>
        <v>767155</v>
      </c>
      <c r="L63" s="22">
        <f t="shared" si="48"/>
        <v>27578.2</v>
      </c>
      <c r="M63" s="22">
        <f t="shared" ref="M63" si="52">+G63*4%</f>
        <v>27578.2</v>
      </c>
      <c r="N63" s="22"/>
      <c r="O63" s="22"/>
      <c r="P63" s="25"/>
      <c r="Q63" s="22"/>
      <c r="R63" s="22"/>
      <c r="S63" s="22"/>
      <c r="T63" s="22">
        <f t="shared" ref="T63" si="53">SUM(L63:S63)</f>
        <v>55156.4</v>
      </c>
      <c r="U63" s="23">
        <f>+K63-T63</f>
        <v>711998.6</v>
      </c>
      <c r="V63" s="23"/>
      <c r="W63" s="64"/>
      <c r="X63" s="23">
        <f t="shared" si="3"/>
        <v>711998.6</v>
      </c>
    </row>
    <row r="64" spans="1:27" x14ac:dyDescent="0.25">
      <c r="A64" s="235"/>
      <c r="B64" s="26">
        <v>24</v>
      </c>
      <c r="C64" s="30" t="s">
        <v>120</v>
      </c>
      <c r="D64" s="26" t="s">
        <v>32</v>
      </c>
      <c r="E64" s="22">
        <v>344727</v>
      </c>
      <c r="F64" s="22">
        <v>30</v>
      </c>
      <c r="G64" s="22">
        <f>+E64/30*F64</f>
        <v>344727</v>
      </c>
      <c r="H64" s="22"/>
      <c r="I64" s="22"/>
      <c r="J64" s="22"/>
      <c r="K64" s="22">
        <f t="shared" si="21"/>
        <v>344727</v>
      </c>
      <c r="L64" s="22"/>
      <c r="M64" s="22"/>
      <c r="N64" s="22"/>
      <c r="O64" s="22"/>
      <c r="P64" s="22"/>
      <c r="Q64" s="22"/>
      <c r="R64" s="22"/>
      <c r="S64" s="22"/>
      <c r="T64" s="22">
        <f t="shared" si="28"/>
        <v>0</v>
      </c>
      <c r="U64" s="23">
        <f t="shared" si="45"/>
        <v>344727</v>
      </c>
      <c r="V64" s="23"/>
      <c r="W64" s="64"/>
      <c r="X64" s="23">
        <f t="shared" si="3"/>
        <v>344727</v>
      </c>
      <c r="AA64" s="65">
        <f>1840000-1196000</f>
        <v>644000</v>
      </c>
    </row>
    <row r="65" spans="1:25" x14ac:dyDescent="0.25">
      <c r="A65" s="235"/>
      <c r="B65" s="26">
        <v>25</v>
      </c>
      <c r="C65" s="30" t="s">
        <v>122</v>
      </c>
      <c r="D65" s="26" t="s">
        <v>32</v>
      </c>
      <c r="E65" s="22">
        <v>1800000</v>
      </c>
      <c r="F65" s="22">
        <v>30</v>
      </c>
      <c r="G65" s="22">
        <f>+E65/30*F65</f>
        <v>1800000</v>
      </c>
      <c r="H65" s="22"/>
      <c r="I65" s="22">
        <v>500000</v>
      </c>
      <c r="J65" s="22"/>
      <c r="K65" s="22">
        <f t="shared" si="21"/>
        <v>2300000</v>
      </c>
      <c r="L65" s="22">
        <f>+E65*4%</f>
        <v>72000</v>
      </c>
      <c r="M65" s="22">
        <f>+E65*4%</f>
        <v>72000</v>
      </c>
      <c r="N65" s="22"/>
      <c r="O65" s="22"/>
      <c r="P65" s="22">
        <v>0</v>
      </c>
      <c r="Q65" s="22"/>
      <c r="R65" s="22"/>
      <c r="S65" s="22"/>
      <c r="T65" s="22">
        <f t="shared" si="28"/>
        <v>144000</v>
      </c>
      <c r="U65" s="23">
        <f>K65-T65</f>
        <v>2156000</v>
      </c>
      <c r="V65" s="23"/>
      <c r="W65" s="64"/>
      <c r="X65" s="23">
        <f>U65+V65-W65</f>
        <v>2156000</v>
      </c>
    </row>
    <row r="66" spans="1:25" ht="20.25" customHeight="1" x14ac:dyDescent="0.25">
      <c r="A66" s="235"/>
      <c r="B66" s="26">
        <v>26</v>
      </c>
      <c r="C66" s="19" t="s">
        <v>126</v>
      </c>
      <c r="D66" s="20" t="s">
        <v>32</v>
      </c>
      <c r="E66" s="22">
        <v>3000000</v>
      </c>
      <c r="F66" s="22">
        <v>19</v>
      </c>
      <c r="G66" s="22">
        <f t="shared" ref="G66" si="54">+E66/30*F66</f>
        <v>1900000</v>
      </c>
      <c r="H66" s="22"/>
      <c r="I66" s="22"/>
      <c r="J66" s="112">
        <v>1100000</v>
      </c>
      <c r="K66" s="22">
        <f t="shared" si="21"/>
        <v>3000000</v>
      </c>
      <c r="L66" s="22">
        <v>120000</v>
      </c>
      <c r="M66" s="22">
        <v>150000</v>
      </c>
      <c r="N66" s="22"/>
      <c r="O66" s="22"/>
      <c r="P66" s="22">
        <v>0</v>
      </c>
      <c r="Q66" s="22"/>
      <c r="R66" s="22"/>
      <c r="S66" s="22">
        <v>802634</v>
      </c>
      <c r="T66" s="22">
        <f t="shared" si="28"/>
        <v>1072634</v>
      </c>
      <c r="U66" s="23">
        <f t="shared" ref="U66:U75" si="55">+K66-T66</f>
        <v>1927366</v>
      </c>
      <c r="V66" s="23"/>
      <c r="W66" s="64"/>
      <c r="X66" s="23">
        <f t="shared" ref="X66" si="56">U66+V66-W66</f>
        <v>1927366</v>
      </c>
    </row>
    <row r="67" spans="1:25" ht="18" customHeight="1" x14ac:dyDescent="0.25">
      <c r="A67" s="235"/>
      <c r="B67" s="26">
        <v>27</v>
      </c>
      <c r="C67" s="19" t="s">
        <v>124</v>
      </c>
      <c r="D67" s="20" t="s">
        <v>32</v>
      </c>
      <c r="E67" s="22">
        <v>2000000</v>
      </c>
      <c r="F67" s="22">
        <v>30</v>
      </c>
      <c r="G67" s="22">
        <f>+E67/30*F67</f>
        <v>2000000.0000000002</v>
      </c>
      <c r="H67" s="22"/>
      <c r="I67" s="22"/>
      <c r="J67" s="27">
        <v>437490</v>
      </c>
      <c r="K67" s="22">
        <f t="shared" si="21"/>
        <v>2437490</v>
      </c>
      <c r="L67" s="22">
        <v>80000</v>
      </c>
      <c r="M67" s="22">
        <v>80000</v>
      </c>
      <c r="N67" s="22"/>
      <c r="O67" s="22"/>
      <c r="P67" s="22">
        <v>0</v>
      </c>
      <c r="Q67" s="22"/>
      <c r="R67" s="22"/>
      <c r="S67" s="22"/>
      <c r="T67" s="22">
        <f t="shared" si="28"/>
        <v>160000</v>
      </c>
      <c r="U67" s="23">
        <f t="shared" si="55"/>
        <v>2277490</v>
      </c>
      <c r="V67" s="23"/>
      <c r="W67" s="64"/>
      <c r="X67" s="23">
        <f t="shared" si="3"/>
        <v>2277490</v>
      </c>
    </row>
    <row r="68" spans="1:25" x14ac:dyDescent="0.25">
      <c r="A68" s="235"/>
      <c r="B68" s="26">
        <v>28</v>
      </c>
      <c r="C68" s="19" t="s">
        <v>128</v>
      </c>
      <c r="D68" s="20" t="s">
        <v>32</v>
      </c>
      <c r="E68" s="22">
        <v>3250000</v>
      </c>
      <c r="F68" s="22">
        <v>30</v>
      </c>
      <c r="G68" s="22">
        <f t="shared" ref="G68:G79" si="57">+E68/30*F68</f>
        <v>3250000</v>
      </c>
      <c r="H68" s="22"/>
      <c r="I68" s="22"/>
      <c r="J68" s="22">
        <v>744782</v>
      </c>
      <c r="K68" s="22">
        <f t="shared" si="21"/>
        <v>3994782</v>
      </c>
      <c r="L68" s="22">
        <f t="shared" ref="L68:L96" si="58">+G68*4%</f>
        <v>130000</v>
      </c>
      <c r="M68" s="22">
        <f>+G68*5%</f>
        <v>162500</v>
      </c>
      <c r="N68" s="22"/>
      <c r="O68" s="22"/>
      <c r="P68" s="22">
        <v>0</v>
      </c>
      <c r="Q68" s="22"/>
      <c r="R68" s="22"/>
      <c r="S68" s="22"/>
      <c r="T68" s="22">
        <f t="shared" si="28"/>
        <v>292500</v>
      </c>
      <c r="U68" s="23">
        <f t="shared" si="55"/>
        <v>3702282</v>
      </c>
      <c r="V68" s="23"/>
      <c r="W68" s="64"/>
      <c r="X68" s="23">
        <f t="shared" ref="X68:X97" si="59">U68+V68-W68</f>
        <v>3702282</v>
      </c>
      <c r="Y68" s="65" t="s">
        <v>130</v>
      </c>
    </row>
    <row r="69" spans="1:25" x14ac:dyDescent="0.25">
      <c r="A69" s="235"/>
      <c r="B69" s="26">
        <v>29</v>
      </c>
      <c r="C69" s="19" t="s">
        <v>214</v>
      </c>
      <c r="D69" s="20" t="s">
        <v>32</v>
      </c>
      <c r="E69" s="22">
        <v>689455</v>
      </c>
      <c r="F69" s="22">
        <v>23</v>
      </c>
      <c r="G69" s="22">
        <f t="shared" si="57"/>
        <v>528582.16666666663</v>
      </c>
      <c r="H69" s="22">
        <v>59570</v>
      </c>
      <c r="I69" s="22"/>
      <c r="J69" s="22"/>
      <c r="K69" s="22">
        <f t="shared" ref="K69" si="60">SUM(G69:I69)+J69</f>
        <v>588152.16666666663</v>
      </c>
      <c r="L69" s="22">
        <f t="shared" si="58"/>
        <v>21143.286666666667</v>
      </c>
      <c r="M69" s="22">
        <f>+G69*4%</f>
        <v>21143.286666666667</v>
      </c>
      <c r="N69" s="22"/>
      <c r="O69" s="22"/>
      <c r="P69" s="22">
        <v>0</v>
      </c>
      <c r="Q69" s="22"/>
      <c r="R69" s="22"/>
      <c r="S69" s="22"/>
      <c r="T69" s="22">
        <f t="shared" ref="T69" si="61">SUM(L69:S69)</f>
        <v>42286.573333333334</v>
      </c>
      <c r="U69" s="23">
        <f t="shared" si="55"/>
        <v>545865.59333333327</v>
      </c>
      <c r="V69" s="23"/>
      <c r="W69" s="64"/>
      <c r="X69" s="23">
        <f t="shared" si="59"/>
        <v>545865.59333333327</v>
      </c>
      <c r="Y69" s="65" t="s">
        <v>130</v>
      </c>
    </row>
    <row r="70" spans="1:25" x14ac:dyDescent="0.25">
      <c r="A70" s="235"/>
      <c r="B70" s="26">
        <v>30</v>
      </c>
      <c r="C70" s="19" t="s">
        <v>131</v>
      </c>
      <c r="D70" s="20" t="s">
        <v>32</v>
      </c>
      <c r="E70" s="22">
        <v>2500000</v>
      </c>
      <c r="F70" s="22">
        <v>30</v>
      </c>
      <c r="G70" s="22">
        <f t="shared" si="57"/>
        <v>2500000</v>
      </c>
      <c r="H70" s="22"/>
      <c r="I70" s="22"/>
      <c r="J70" s="22"/>
      <c r="K70" s="22">
        <f t="shared" si="21"/>
        <v>2500000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8"/>
        <v>786000</v>
      </c>
      <c r="U70" s="23">
        <f t="shared" si="55"/>
        <v>1714000</v>
      </c>
      <c r="V70" s="23"/>
      <c r="W70" s="64"/>
      <c r="X70" s="23">
        <f t="shared" si="59"/>
        <v>1714000</v>
      </c>
    </row>
    <row r="71" spans="1:25" x14ac:dyDescent="0.25">
      <c r="A71" s="235"/>
      <c r="B71" s="26">
        <v>31</v>
      </c>
      <c r="C71" s="19" t="s">
        <v>206</v>
      </c>
      <c r="D71" s="20" t="s">
        <v>32</v>
      </c>
      <c r="E71" s="22">
        <v>900000</v>
      </c>
      <c r="F71" s="22">
        <v>30</v>
      </c>
      <c r="G71" s="22">
        <f t="shared" si="57"/>
        <v>900000</v>
      </c>
      <c r="H71" s="22"/>
      <c r="I71" s="22"/>
      <c r="J71" s="22"/>
      <c r="K71" s="22">
        <f t="shared" ref="K71" si="62">SUM(G71:I71)+J71</f>
        <v>900000</v>
      </c>
      <c r="L71" s="22">
        <f>+G71*4%</f>
        <v>36000</v>
      </c>
      <c r="M71" s="22">
        <f>+G71*4%</f>
        <v>36000</v>
      </c>
      <c r="N71" s="22"/>
      <c r="O71" s="22"/>
      <c r="P71" s="25">
        <v>0</v>
      </c>
      <c r="Q71" s="22"/>
      <c r="R71" s="22"/>
      <c r="S71" s="22"/>
      <c r="T71" s="22">
        <f t="shared" ref="T71" si="63">SUM(L71:S71)</f>
        <v>72000</v>
      </c>
      <c r="U71" s="23">
        <f t="shared" si="55"/>
        <v>828000</v>
      </c>
      <c r="V71" s="23"/>
      <c r="W71" s="64"/>
      <c r="X71" s="23">
        <f t="shared" si="59"/>
        <v>828000</v>
      </c>
    </row>
    <row r="72" spans="1:25" x14ac:dyDescent="0.25">
      <c r="A72" s="235"/>
      <c r="B72" s="26">
        <v>32</v>
      </c>
      <c r="C72" s="19" t="s">
        <v>133</v>
      </c>
      <c r="D72" s="20" t="s">
        <v>32</v>
      </c>
      <c r="E72" s="22">
        <v>1800000</v>
      </c>
      <c r="F72" s="22">
        <v>28</v>
      </c>
      <c r="G72" s="22">
        <f t="shared" si="57"/>
        <v>1680000</v>
      </c>
      <c r="H72" s="22"/>
      <c r="I72" s="22"/>
      <c r="J72" s="112">
        <v>120000</v>
      </c>
      <c r="K72" s="22">
        <f t="shared" si="21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>
        <v>416000</v>
      </c>
      <c r="T72" s="22">
        <f t="shared" si="28"/>
        <v>560000</v>
      </c>
      <c r="U72" s="23">
        <f t="shared" si="55"/>
        <v>1240000</v>
      </c>
      <c r="V72" s="23"/>
      <c r="W72" s="64"/>
      <c r="X72" s="23">
        <f t="shared" si="59"/>
        <v>1240000</v>
      </c>
    </row>
    <row r="73" spans="1:25" ht="24" x14ac:dyDescent="0.25">
      <c r="A73" s="235"/>
      <c r="B73" s="26">
        <v>33</v>
      </c>
      <c r="C73" s="19" t="s">
        <v>215</v>
      </c>
      <c r="D73" s="20" t="s">
        <v>32</v>
      </c>
      <c r="E73" s="22">
        <v>689455</v>
      </c>
      <c r="F73" s="22">
        <v>23</v>
      </c>
      <c r="G73" s="22">
        <f t="shared" si="57"/>
        <v>528582.16666666663</v>
      </c>
      <c r="H73" s="22">
        <v>59570</v>
      </c>
      <c r="I73" s="22"/>
      <c r="J73" s="22"/>
      <c r="K73" s="22">
        <f t="shared" ref="K73" si="64">SUM(G73:I73)+J73</f>
        <v>588152.16666666663</v>
      </c>
      <c r="L73" s="22">
        <f>+G73*4%</f>
        <v>21143.286666666667</v>
      </c>
      <c r="M73" s="22">
        <f>+G73*4%</f>
        <v>21143.286666666667</v>
      </c>
      <c r="N73" s="22"/>
      <c r="O73" s="22"/>
      <c r="P73" s="25">
        <v>0</v>
      </c>
      <c r="Q73" s="22"/>
      <c r="R73" s="22"/>
      <c r="S73" s="22"/>
      <c r="T73" s="22">
        <f t="shared" ref="T73" si="65">SUM(L73:S73)</f>
        <v>42286.573333333334</v>
      </c>
      <c r="U73" s="23">
        <f t="shared" si="55"/>
        <v>545865.59333333327</v>
      </c>
      <c r="V73" s="23"/>
      <c r="W73" s="64"/>
      <c r="X73" s="23">
        <f t="shared" si="59"/>
        <v>545865.59333333327</v>
      </c>
    </row>
    <row r="74" spans="1:25" x14ac:dyDescent="0.25">
      <c r="A74" s="235"/>
      <c r="B74" s="26">
        <v>34</v>
      </c>
      <c r="C74" s="19" t="s">
        <v>135</v>
      </c>
      <c r="D74" s="20" t="s">
        <v>32</v>
      </c>
      <c r="E74" s="22">
        <v>1800000</v>
      </c>
      <c r="F74" s="22">
        <v>30</v>
      </c>
      <c r="G74" s="22">
        <f>+E74/30*F74</f>
        <v>1800000</v>
      </c>
      <c r="H74" s="22"/>
      <c r="I74" s="22"/>
      <c r="J74" s="22"/>
      <c r="K74" s="22">
        <f t="shared" ref="K74:K97" si="66">SUM(G74:I74)+J74</f>
        <v>1800000</v>
      </c>
      <c r="L74" s="22">
        <v>72000</v>
      </c>
      <c r="M74" s="22">
        <v>72000</v>
      </c>
      <c r="N74" s="22"/>
      <c r="O74" s="22"/>
      <c r="P74" s="22">
        <v>0</v>
      </c>
      <c r="Q74" s="22"/>
      <c r="R74" s="22"/>
      <c r="S74" s="22">
        <v>257196</v>
      </c>
      <c r="T74" s="22">
        <f t="shared" si="28"/>
        <v>401196</v>
      </c>
      <c r="U74" s="23">
        <f t="shared" si="55"/>
        <v>1398804</v>
      </c>
      <c r="V74" s="23"/>
      <c r="W74" s="64"/>
      <c r="X74" s="23">
        <f t="shared" si="59"/>
        <v>1398804</v>
      </c>
    </row>
    <row r="75" spans="1:25" x14ac:dyDescent="0.25">
      <c r="A75" s="235"/>
      <c r="B75" s="26">
        <v>35</v>
      </c>
      <c r="C75" s="19" t="s">
        <v>189</v>
      </c>
      <c r="D75" s="20" t="s">
        <v>32</v>
      </c>
      <c r="E75" s="22">
        <v>4500000</v>
      </c>
      <c r="F75" s="22">
        <v>30</v>
      </c>
      <c r="G75" s="22">
        <f>+E75/30*F75</f>
        <v>4500000</v>
      </c>
      <c r="H75" s="22"/>
      <c r="I75" s="22"/>
      <c r="J75" s="22"/>
      <c r="K75" s="22">
        <f t="shared" si="66"/>
        <v>4500000</v>
      </c>
      <c r="L75" s="22">
        <f t="shared" ref="L75" si="67">+G75*4%</f>
        <v>180000</v>
      </c>
      <c r="M75" s="22">
        <f>+G75*5%</f>
        <v>225000</v>
      </c>
      <c r="N75" s="22"/>
      <c r="O75" s="22"/>
      <c r="P75" s="22">
        <v>72000</v>
      </c>
      <c r="Q75" s="22"/>
      <c r="R75" s="22"/>
      <c r="S75" s="22"/>
      <c r="T75" s="22">
        <f t="shared" ref="T75" si="68">SUM(L75:S75)</f>
        <v>477000</v>
      </c>
      <c r="U75" s="23">
        <f t="shared" si="55"/>
        <v>4023000</v>
      </c>
      <c r="V75" s="23"/>
      <c r="W75" s="64"/>
      <c r="X75" s="23">
        <f t="shared" si="59"/>
        <v>4023000</v>
      </c>
    </row>
    <row r="76" spans="1:25" x14ac:dyDescent="0.25">
      <c r="A76" s="235"/>
      <c r="B76" s="26">
        <v>36</v>
      </c>
      <c r="C76" s="19" t="s">
        <v>138</v>
      </c>
      <c r="D76" s="20" t="s">
        <v>32</v>
      </c>
      <c r="E76" s="22">
        <v>4500000</v>
      </c>
      <c r="F76" s="22">
        <v>30</v>
      </c>
      <c r="G76" s="22">
        <f>+E76/30*F76</f>
        <v>4500000</v>
      </c>
      <c r="H76" s="22"/>
      <c r="I76" s="22"/>
      <c r="J76" s="22"/>
      <c r="K76" s="22">
        <f t="shared" si="66"/>
        <v>4500000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4021927</v>
      </c>
      <c r="V76" s="23"/>
      <c r="W76" s="64"/>
      <c r="X76" s="23">
        <f t="shared" si="59"/>
        <v>4021927</v>
      </c>
    </row>
    <row r="77" spans="1:25" x14ac:dyDescent="0.25">
      <c r="A77" s="235"/>
      <c r="B77" s="26">
        <v>37</v>
      </c>
      <c r="C77" s="19" t="s">
        <v>142</v>
      </c>
      <c r="D77" s="20" t="s">
        <v>32</v>
      </c>
      <c r="E77" s="22">
        <v>2500000</v>
      </c>
      <c r="F77" s="22">
        <v>30</v>
      </c>
      <c r="G77" s="22">
        <f t="shared" ref="G77" si="69">+E77/30*F77</f>
        <v>2500000</v>
      </c>
      <c r="H77" s="22"/>
      <c r="I77" s="22">
        <v>500000</v>
      </c>
      <c r="J77" s="22"/>
      <c r="K77" s="22">
        <f t="shared" si="66"/>
        <v>3000000</v>
      </c>
      <c r="L77" s="22">
        <v>100000</v>
      </c>
      <c r="M77" s="22">
        <v>100000</v>
      </c>
      <c r="N77" s="22"/>
      <c r="O77" s="22">
        <v>38500</v>
      </c>
      <c r="P77" s="22">
        <v>0</v>
      </c>
      <c r="Q77" s="22"/>
      <c r="R77" s="22"/>
      <c r="S77" s="22"/>
      <c r="T77" s="22">
        <f t="shared" si="28"/>
        <v>238500</v>
      </c>
      <c r="U77" s="23">
        <f>K77-T77</f>
        <v>2761500</v>
      </c>
      <c r="V77" s="23"/>
      <c r="W77" s="64"/>
      <c r="X77" s="23">
        <f t="shared" si="59"/>
        <v>2761500</v>
      </c>
    </row>
    <row r="78" spans="1:25" ht="24" x14ac:dyDescent="0.25">
      <c r="A78" s="235"/>
      <c r="B78" s="26">
        <v>38</v>
      </c>
      <c r="C78" s="19" t="s">
        <v>140</v>
      </c>
      <c r="D78" s="20" t="s">
        <v>32</v>
      </c>
      <c r="E78" s="22">
        <v>2548000</v>
      </c>
      <c r="F78" s="22">
        <v>30</v>
      </c>
      <c r="G78" s="22">
        <f t="shared" si="57"/>
        <v>2548000</v>
      </c>
      <c r="H78" s="22"/>
      <c r="I78" s="22"/>
      <c r="J78" s="22">
        <f>+E78-G78</f>
        <v>0</v>
      </c>
      <c r="K78" s="22">
        <f t="shared" si="66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>
        <v>359047</v>
      </c>
      <c r="T78" s="22">
        <f t="shared" si="28"/>
        <v>562887</v>
      </c>
      <c r="U78" s="23">
        <f>K78-T78</f>
        <v>1985113</v>
      </c>
      <c r="V78" s="23"/>
      <c r="W78" s="64"/>
      <c r="X78" s="23">
        <f t="shared" si="59"/>
        <v>1985113</v>
      </c>
    </row>
    <row r="79" spans="1:25" x14ac:dyDescent="0.25">
      <c r="A79" s="235"/>
      <c r="B79" s="26">
        <v>39</v>
      </c>
      <c r="C79" s="19" t="s">
        <v>216</v>
      </c>
      <c r="D79" s="20" t="s">
        <v>32</v>
      </c>
      <c r="E79" s="22">
        <v>689455</v>
      </c>
      <c r="F79" s="22">
        <v>23</v>
      </c>
      <c r="G79" s="22">
        <f t="shared" si="57"/>
        <v>528582.16666666663</v>
      </c>
      <c r="H79" s="22">
        <v>59570</v>
      </c>
      <c r="I79" s="22"/>
      <c r="J79" s="22"/>
      <c r="K79" s="22">
        <f t="shared" ref="K79" si="70">SUM(G79:I79)+J79</f>
        <v>588152.16666666663</v>
      </c>
      <c r="L79" s="22">
        <f>+G79*4%</f>
        <v>21143.286666666667</v>
      </c>
      <c r="M79" s="22">
        <f>+G79*4%</f>
        <v>21143.286666666667</v>
      </c>
      <c r="N79" s="22"/>
      <c r="O79" s="22"/>
      <c r="P79" s="22"/>
      <c r="Q79" s="22"/>
      <c r="R79" s="22"/>
      <c r="S79" s="22"/>
      <c r="T79" s="22">
        <f t="shared" si="28"/>
        <v>42286.573333333334</v>
      </c>
      <c r="U79" s="23">
        <f>K79-T79</f>
        <v>545865.59333333327</v>
      </c>
      <c r="V79" s="23"/>
      <c r="W79" s="64"/>
      <c r="X79" s="23">
        <f t="shared" si="59"/>
        <v>545865.59333333327</v>
      </c>
    </row>
    <row r="80" spans="1:25" x14ac:dyDescent="0.25">
      <c r="A80" s="235"/>
      <c r="B80" s="26">
        <v>40</v>
      </c>
      <c r="C80" s="30" t="s">
        <v>144</v>
      </c>
      <c r="D80" s="26" t="s">
        <v>32</v>
      </c>
      <c r="E80" s="22">
        <v>689455</v>
      </c>
      <c r="F80" s="22">
        <v>30</v>
      </c>
      <c r="G80" s="22">
        <f>+E80/30*F80</f>
        <v>689455</v>
      </c>
      <c r="H80" s="22">
        <v>77700</v>
      </c>
      <c r="I80" s="22"/>
      <c r="J80" s="22">
        <v>280795</v>
      </c>
      <c r="K80" s="22">
        <f t="shared" si="66"/>
        <v>1047950</v>
      </c>
      <c r="L80" s="22">
        <f>+G80*4%</f>
        <v>27578.2</v>
      </c>
      <c r="M80" s="22">
        <f>+G80*4%</f>
        <v>27578.2</v>
      </c>
      <c r="N80" s="22"/>
      <c r="O80" s="22"/>
      <c r="P80" s="22">
        <v>0</v>
      </c>
      <c r="Q80" s="22"/>
      <c r="R80" s="22"/>
      <c r="S80" s="22"/>
      <c r="T80" s="22">
        <f t="shared" si="28"/>
        <v>55156.4</v>
      </c>
      <c r="U80" s="23">
        <f>K80-T80</f>
        <v>992793.59999999998</v>
      </c>
      <c r="V80" s="23"/>
      <c r="W80" s="64"/>
      <c r="X80" s="23">
        <f t="shared" si="59"/>
        <v>992793.59999999998</v>
      </c>
    </row>
    <row r="81" spans="1:24" x14ac:dyDescent="0.25">
      <c r="A81" s="235"/>
      <c r="B81" s="26">
        <v>41</v>
      </c>
      <c r="C81" s="19" t="s">
        <v>146</v>
      </c>
      <c r="D81" s="20" t="s">
        <v>32</v>
      </c>
      <c r="E81" s="22">
        <v>15400000</v>
      </c>
      <c r="F81" s="22">
        <v>30</v>
      </c>
      <c r="G81" s="22">
        <f t="shared" ref="G81:G89" si="71">+E81/30*F81</f>
        <v>15400000</v>
      </c>
      <c r="H81" s="22"/>
      <c r="I81" s="22">
        <v>600000</v>
      </c>
      <c r="J81" s="22"/>
      <c r="K81" s="22">
        <f t="shared" si="66"/>
        <v>16000000</v>
      </c>
      <c r="L81" s="22">
        <f t="shared" si="58"/>
        <v>616000</v>
      </c>
      <c r="M81" s="22">
        <f>+G81*6%</f>
        <v>924000</v>
      </c>
      <c r="N81" s="22">
        <v>102400</v>
      </c>
      <c r="O81" s="22"/>
      <c r="P81" s="22">
        <v>1014000</v>
      </c>
      <c r="Q81" s="22">
        <v>5000000</v>
      </c>
      <c r="R81" s="22">
        <v>180180</v>
      </c>
      <c r="S81" s="22">
        <v>2314715</v>
      </c>
      <c r="T81" s="22">
        <f t="shared" si="28"/>
        <v>10151295</v>
      </c>
      <c r="U81" s="23">
        <f>+K81-T81</f>
        <v>5848705</v>
      </c>
      <c r="V81" s="23"/>
      <c r="W81" s="64"/>
      <c r="X81" s="23">
        <f t="shared" si="59"/>
        <v>5848705</v>
      </c>
    </row>
    <row r="82" spans="1:24" x14ac:dyDescent="0.25">
      <c r="A82" s="235"/>
      <c r="B82" s="26">
        <v>42</v>
      </c>
      <c r="C82" s="19" t="s">
        <v>148</v>
      </c>
      <c r="D82" s="20" t="s">
        <v>32</v>
      </c>
      <c r="E82" s="22">
        <v>4500000</v>
      </c>
      <c r="F82" s="22">
        <v>30</v>
      </c>
      <c r="G82" s="22">
        <f t="shared" si="71"/>
        <v>4500000</v>
      </c>
      <c r="H82" s="22"/>
      <c r="I82" s="22"/>
      <c r="J82" s="22"/>
      <c r="K82" s="22">
        <f t="shared" si="66"/>
        <v>4500000</v>
      </c>
      <c r="L82" s="22">
        <f t="shared" si="58"/>
        <v>180000</v>
      </c>
      <c r="M82" s="22">
        <f>+G82*5%</f>
        <v>225000</v>
      </c>
      <c r="N82" s="22"/>
      <c r="O82" s="22"/>
      <c r="P82" s="22">
        <v>90000</v>
      </c>
      <c r="Q82" s="22"/>
      <c r="R82" s="22"/>
      <c r="S82" s="22"/>
      <c r="T82" s="22">
        <f t="shared" si="28"/>
        <v>495000</v>
      </c>
      <c r="U82" s="23">
        <f>+K82-T82</f>
        <v>4005000</v>
      </c>
      <c r="V82" s="23"/>
      <c r="W82" s="64"/>
      <c r="X82" s="23">
        <f t="shared" si="59"/>
        <v>4005000</v>
      </c>
    </row>
    <row r="83" spans="1:24" x14ac:dyDescent="0.25">
      <c r="A83" s="235"/>
      <c r="B83" s="26">
        <v>43</v>
      </c>
      <c r="C83" s="19" t="s">
        <v>150</v>
      </c>
      <c r="D83" s="20" t="s">
        <v>32</v>
      </c>
      <c r="E83" s="22">
        <v>1650000</v>
      </c>
      <c r="F83" s="22">
        <v>30</v>
      </c>
      <c r="G83" s="22">
        <f t="shared" si="71"/>
        <v>1650000</v>
      </c>
      <c r="H83" s="22"/>
      <c r="I83" s="22"/>
      <c r="J83" s="22"/>
      <c r="K83" s="22">
        <f t="shared" si="66"/>
        <v>1650000</v>
      </c>
      <c r="L83" s="22">
        <f>+G83*4%</f>
        <v>66000</v>
      </c>
      <c r="M83" s="22">
        <f>+G83*4%</f>
        <v>66000</v>
      </c>
      <c r="N83" s="22"/>
      <c r="O83" s="22"/>
      <c r="P83" s="22">
        <v>0</v>
      </c>
      <c r="Q83" s="22"/>
      <c r="R83" s="22"/>
      <c r="S83" s="22"/>
      <c r="T83" s="22">
        <f t="shared" si="28"/>
        <v>132000</v>
      </c>
      <c r="U83" s="23">
        <f>+K83-T83</f>
        <v>1518000</v>
      </c>
      <c r="V83" s="23"/>
      <c r="W83" s="64"/>
      <c r="X83" s="23">
        <f t="shared" si="59"/>
        <v>1518000</v>
      </c>
    </row>
    <row r="84" spans="1:24" x14ac:dyDescent="0.25">
      <c r="A84" s="235"/>
      <c r="B84" s="26">
        <v>44</v>
      </c>
      <c r="C84" s="30" t="s">
        <v>152</v>
      </c>
      <c r="D84" s="26" t="s">
        <v>32</v>
      </c>
      <c r="E84" s="22">
        <v>2000000</v>
      </c>
      <c r="F84" s="22">
        <v>30</v>
      </c>
      <c r="G84" s="22">
        <f t="shared" si="71"/>
        <v>2000000.0000000002</v>
      </c>
      <c r="H84" s="22"/>
      <c r="I84" s="22">
        <v>160000</v>
      </c>
      <c r="J84" s="22">
        <v>218743</v>
      </c>
      <c r="K84" s="22">
        <f t="shared" si="66"/>
        <v>2378743</v>
      </c>
      <c r="L84" s="22">
        <f>+E84*4%</f>
        <v>80000</v>
      </c>
      <c r="M84" s="22">
        <v>80000</v>
      </c>
      <c r="N84" s="22"/>
      <c r="O84" s="22"/>
      <c r="P84" s="22">
        <v>0</v>
      </c>
      <c r="Q84" s="22"/>
      <c r="R84" s="22"/>
      <c r="S84" s="22"/>
      <c r="T84" s="22">
        <f t="shared" si="28"/>
        <v>160000</v>
      </c>
      <c r="U84" s="23">
        <f>K84-T84</f>
        <v>2218743</v>
      </c>
      <c r="V84" s="23"/>
      <c r="W84" s="64"/>
      <c r="X84" s="23">
        <f t="shared" si="59"/>
        <v>2218743</v>
      </c>
    </row>
    <row r="85" spans="1:24" x14ac:dyDescent="0.25">
      <c r="A85" s="235"/>
      <c r="B85" s="26">
        <v>45</v>
      </c>
      <c r="C85" s="30" t="s">
        <v>184</v>
      </c>
      <c r="D85" s="26" t="s">
        <v>32</v>
      </c>
      <c r="E85" s="22">
        <v>900000</v>
      </c>
      <c r="F85" s="22">
        <v>30</v>
      </c>
      <c r="G85" s="22">
        <f t="shared" si="71"/>
        <v>900000</v>
      </c>
      <c r="H85" s="22">
        <f>+(77700/30)*F85</f>
        <v>77700</v>
      </c>
      <c r="I85" s="22"/>
      <c r="J85" s="22"/>
      <c r="K85" s="22">
        <f t="shared" si="66"/>
        <v>977700</v>
      </c>
      <c r="L85" s="22">
        <f t="shared" si="58"/>
        <v>36000</v>
      </c>
      <c r="M85" s="22">
        <f>+G85*4%</f>
        <v>36000</v>
      </c>
      <c r="N85" s="22"/>
      <c r="O85" s="22"/>
      <c r="P85" s="22"/>
      <c r="Q85" s="22"/>
      <c r="R85" s="22"/>
      <c r="S85" s="22"/>
      <c r="T85" s="22">
        <f>SUM(L85:S85)</f>
        <v>72000</v>
      </c>
      <c r="U85" s="23">
        <f>K85-T85</f>
        <v>905700</v>
      </c>
      <c r="V85" s="23"/>
      <c r="W85" s="64"/>
      <c r="X85" s="23">
        <f t="shared" si="59"/>
        <v>905700</v>
      </c>
    </row>
    <row r="86" spans="1:24" x14ac:dyDescent="0.25">
      <c r="A86" s="235"/>
      <c r="B86" s="26">
        <v>46</v>
      </c>
      <c r="C86" s="30" t="s">
        <v>197</v>
      </c>
      <c r="D86" s="26" t="s">
        <v>32</v>
      </c>
      <c r="E86" s="22">
        <v>1200000</v>
      </c>
      <c r="F86" s="22">
        <v>30</v>
      </c>
      <c r="G86" s="22">
        <f t="shared" si="71"/>
        <v>1200000</v>
      </c>
      <c r="H86" s="22">
        <f>+(77700/30)*F86</f>
        <v>77700</v>
      </c>
      <c r="I86" s="22"/>
      <c r="J86" s="22"/>
      <c r="K86" s="22">
        <f t="shared" ref="K86" si="72">SUM(G86:I86)+J86</f>
        <v>1277700</v>
      </c>
      <c r="L86" s="22">
        <f t="shared" si="58"/>
        <v>48000</v>
      </c>
      <c r="M86" s="22">
        <f>+G86*4%</f>
        <v>48000</v>
      </c>
      <c r="N86" s="22"/>
      <c r="O86" s="22"/>
      <c r="P86" s="22"/>
      <c r="Q86" s="22"/>
      <c r="R86" s="22"/>
      <c r="S86" s="22"/>
      <c r="T86" s="22">
        <f t="shared" ref="T86" si="73">SUM(L86:S86)</f>
        <v>96000</v>
      </c>
      <c r="U86" s="23">
        <f>K86-T86</f>
        <v>1181700</v>
      </c>
      <c r="V86" s="23"/>
      <c r="W86" s="64"/>
      <c r="X86" s="23">
        <f t="shared" si="59"/>
        <v>1181700</v>
      </c>
    </row>
    <row r="87" spans="1:24" ht="24" x14ac:dyDescent="0.25">
      <c r="A87" s="235"/>
      <c r="B87" s="26">
        <v>47</v>
      </c>
      <c r="C87" s="19" t="s">
        <v>175</v>
      </c>
      <c r="D87" s="20" t="s">
        <v>32</v>
      </c>
      <c r="E87" s="22">
        <v>2500000</v>
      </c>
      <c r="F87" s="22">
        <v>30</v>
      </c>
      <c r="G87" s="22">
        <f t="shared" si="71"/>
        <v>2500000</v>
      </c>
      <c r="H87" s="22"/>
      <c r="I87" s="22"/>
      <c r="J87" s="22"/>
      <c r="K87" s="22">
        <f t="shared" si="66"/>
        <v>2500000</v>
      </c>
      <c r="L87" s="22">
        <f t="shared" si="58"/>
        <v>100000</v>
      </c>
      <c r="M87" s="22">
        <f t="shared" ref="M87:M95" si="74">+G87*4%</f>
        <v>100000</v>
      </c>
      <c r="N87" s="22"/>
      <c r="O87" s="22"/>
      <c r="P87" s="22"/>
      <c r="Q87" s="22"/>
      <c r="R87" s="22"/>
      <c r="S87" s="22"/>
      <c r="T87" s="22">
        <f t="shared" si="28"/>
        <v>200000</v>
      </c>
      <c r="U87" s="23">
        <f>+K87-T87</f>
        <v>2300000</v>
      </c>
      <c r="V87" s="23"/>
      <c r="W87" s="64"/>
      <c r="X87" s="23">
        <f t="shared" si="59"/>
        <v>2300000</v>
      </c>
    </row>
    <row r="88" spans="1:24" x14ac:dyDescent="0.25">
      <c r="A88" s="235"/>
      <c r="B88" s="26">
        <v>48</v>
      </c>
      <c r="C88" s="19" t="s">
        <v>88</v>
      </c>
      <c r="D88" s="20" t="s">
        <v>32</v>
      </c>
      <c r="E88" s="22">
        <v>3700000</v>
      </c>
      <c r="F88" s="22">
        <v>30</v>
      </c>
      <c r="G88" s="22">
        <f t="shared" si="71"/>
        <v>3700000</v>
      </c>
      <c r="H88" s="22"/>
      <c r="I88" s="22">
        <v>650000</v>
      </c>
      <c r="J88" s="22"/>
      <c r="K88" s="22">
        <f t="shared" ref="K88" si="75">SUM(G88:I88)+J88</f>
        <v>4350000</v>
      </c>
      <c r="L88" s="22">
        <f t="shared" si="58"/>
        <v>148000</v>
      </c>
      <c r="M88" s="22">
        <f>+G88*5%</f>
        <v>185000</v>
      </c>
      <c r="N88" s="22"/>
      <c r="O88" s="22"/>
      <c r="P88" s="22">
        <v>35000</v>
      </c>
      <c r="Q88" s="22"/>
      <c r="R88" s="22"/>
      <c r="S88" s="22"/>
      <c r="T88" s="22">
        <f t="shared" ref="T88" si="76">SUM(L88:S88)</f>
        <v>368000</v>
      </c>
      <c r="U88" s="23">
        <f>+K88-T88</f>
        <v>3982000</v>
      </c>
      <c r="V88" s="23"/>
      <c r="W88" s="64"/>
      <c r="X88" s="23">
        <f t="shared" si="59"/>
        <v>3982000</v>
      </c>
    </row>
    <row r="89" spans="1:24" x14ac:dyDescent="0.25">
      <c r="A89" s="235"/>
      <c r="B89" s="26">
        <v>49</v>
      </c>
      <c r="C89" s="19" t="s">
        <v>154</v>
      </c>
      <c r="D89" s="20" t="s">
        <v>105</v>
      </c>
      <c r="E89" s="22">
        <v>1400000</v>
      </c>
      <c r="F89" s="22">
        <v>30</v>
      </c>
      <c r="G89" s="22">
        <f t="shared" si="71"/>
        <v>1400000</v>
      </c>
      <c r="H89" s="22"/>
      <c r="I89" s="22"/>
      <c r="J89" s="22"/>
      <c r="K89" s="22">
        <f t="shared" si="66"/>
        <v>1400000</v>
      </c>
      <c r="L89" s="22">
        <v>56000</v>
      </c>
      <c r="M89" s="22">
        <v>56000</v>
      </c>
      <c r="N89" s="22"/>
      <c r="O89" s="22"/>
      <c r="P89" s="25"/>
      <c r="Q89" s="22"/>
      <c r="R89" s="22"/>
      <c r="S89" s="22"/>
      <c r="T89" s="22">
        <f t="shared" si="28"/>
        <v>112000</v>
      </c>
      <c r="U89" s="23">
        <f>+K89-T89</f>
        <v>1288000</v>
      </c>
      <c r="V89" s="23"/>
      <c r="W89" s="64"/>
      <c r="X89" s="23">
        <f t="shared" si="59"/>
        <v>1288000</v>
      </c>
    </row>
    <row r="90" spans="1:24" x14ac:dyDescent="0.25">
      <c r="A90" s="235"/>
      <c r="B90" s="26">
        <v>50</v>
      </c>
      <c r="C90" s="30" t="s">
        <v>159</v>
      </c>
      <c r="D90" s="26" t="s">
        <v>32</v>
      </c>
      <c r="E90" s="22">
        <v>1300000</v>
      </c>
      <c r="F90" s="22">
        <v>30</v>
      </c>
      <c r="G90" s="22">
        <f>+E90/30*F90</f>
        <v>1300000</v>
      </c>
      <c r="H90" s="22">
        <v>77700</v>
      </c>
      <c r="I90" s="22"/>
      <c r="J90" s="22"/>
      <c r="K90" s="22">
        <f t="shared" si="66"/>
        <v>1377700</v>
      </c>
      <c r="L90" s="22">
        <f t="shared" si="58"/>
        <v>52000</v>
      </c>
      <c r="M90" s="22">
        <f t="shared" si="74"/>
        <v>52000</v>
      </c>
      <c r="N90" s="22"/>
      <c r="O90" s="22"/>
      <c r="P90" s="22">
        <v>0</v>
      </c>
      <c r="Q90" s="22"/>
      <c r="R90" s="22"/>
      <c r="S90" s="22">
        <v>249127</v>
      </c>
      <c r="T90" s="22">
        <f t="shared" si="28"/>
        <v>353127</v>
      </c>
      <c r="U90" s="23">
        <f>K90-T90</f>
        <v>1024573</v>
      </c>
      <c r="V90" s="23"/>
      <c r="W90" s="64"/>
      <c r="X90" s="23">
        <f t="shared" si="59"/>
        <v>1024573</v>
      </c>
    </row>
    <row r="91" spans="1:24" ht="12.75" thickBot="1" x14ac:dyDescent="0.3">
      <c r="A91" s="235"/>
      <c r="B91" s="26">
        <v>51</v>
      </c>
      <c r="C91" s="19" t="s">
        <v>161</v>
      </c>
      <c r="D91" s="20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68">
        <v>31741</v>
      </c>
      <c r="K91" s="22">
        <f t="shared" si="66"/>
        <v>798896</v>
      </c>
      <c r="L91" s="22">
        <f t="shared" si="58"/>
        <v>27578.2</v>
      </c>
      <c r="M91" s="22">
        <f t="shared" si="74"/>
        <v>27578.2</v>
      </c>
      <c r="N91" s="22"/>
      <c r="O91" s="22"/>
      <c r="P91" s="22">
        <v>0</v>
      </c>
      <c r="Q91" s="22"/>
      <c r="R91" s="22"/>
      <c r="S91" s="22"/>
      <c r="T91" s="22">
        <f t="shared" si="28"/>
        <v>55156.4</v>
      </c>
      <c r="U91" s="23">
        <f>+K91-T91</f>
        <v>743739.6</v>
      </c>
      <c r="V91" s="23"/>
      <c r="W91" s="64"/>
      <c r="X91" s="23">
        <f t="shared" si="59"/>
        <v>743739.6</v>
      </c>
    </row>
    <row r="92" spans="1:24" ht="24.75" thickBot="1" x14ac:dyDescent="0.3">
      <c r="A92" s="235"/>
      <c r="B92" s="26">
        <v>52</v>
      </c>
      <c r="C92" s="19" t="s">
        <v>163</v>
      </c>
      <c r="D92" s="20" t="s">
        <v>32</v>
      </c>
      <c r="E92" s="22">
        <v>1200000</v>
      </c>
      <c r="F92" s="22">
        <v>30</v>
      </c>
      <c r="G92" s="22">
        <f>+E92/30*F92</f>
        <v>1200000</v>
      </c>
      <c r="H92" s="22">
        <v>77700</v>
      </c>
      <c r="I92" s="69"/>
      <c r="J92" s="113">
        <v>240630</v>
      </c>
      <c r="K92" s="71">
        <f t="shared" si="66"/>
        <v>1518330</v>
      </c>
      <c r="L92" s="22">
        <v>48000</v>
      </c>
      <c r="M92" s="22">
        <v>48000</v>
      </c>
      <c r="N92" s="22"/>
      <c r="O92" s="22"/>
      <c r="P92" s="22">
        <v>0</v>
      </c>
      <c r="Q92" s="22"/>
      <c r="R92" s="22"/>
      <c r="S92" s="22"/>
      <c r="T92" s="22">
        <f t="shared" si="28"/>
        <v>96000</v>
      </c>
      <c r="U92" s="23">
        <f>+K92-T92</f>
        <v>1422330</v>
      </c>
      <c r="V92" s="23"/>
      <c r="W92" s="64"/>
      <c r="X92" s="23">
        <f t="shared" si="59"/>
        <v>1422330</v>
      </c>
    </row>
    <row r="93" spans="1:24" ht="24" x14ac:dyDescent="0.25">
      <c r="A93" s="72"/>
      <c r="B93" s="26">
        <v>53</v>
      </c>
      <c r="C93" s="19" t="s">
        <v>207</v>
      </c>
      <c r="D93" s="20" t="s">
        <v>32</v>
      </c>
      <c r="E93" s="22">
        <v>1100000</v>
      </c>
      <c r="F93" s="22">
        <v>30</v>
      </c>
      <c r="G93" s="22">
        <f>+E93/30*F93</f>
        <v>1100000</v>
      </c>
      <c r="H93" s="22">
        <f>+(77700/30)*F93</f>
        <v>77700</v>
      </c>
      <c r="I93" s="22"/>
      <c r="J93" s="73"/>
      <c r="K93" s="22">
        <f t="shared" ref="K93" si="77">SUM(G93:I93)+J93</f>
        <v>1177700</v>
      </c>
      <c r="L93" s="22">
        <f t="shared" ref="L93" si="78">+G93*4%</f>
        <v>44000</v>
      </c>
      <c r="M93" s="22">
        <f t="shared" ref="M93" si="79">+G93*4%</f>
        <v>44000</v>
      </c>
      <c r="N93" s="22"/>
      <c r="O93" s="22"/>
      <c r="P93" s="22">
        <v>0</v>
      </c>
      <c r="Q93" s="22"/>
      <c r="R93" s="22"/>
      <c r="S93" s="22"/>
      <c r="T93" s="22">
        <f t="shared" si="28"/>
        <v>88000</v>
      </c>
      <c r="U93" s="23">
        <f>+K93-T93</f>
        <v>1089700</v>
      </c>
      <c r="V93" s="23"/>
      <c r="W93" s="64"/>
      <c r="X93" s="23">
        <f t="shared" si="59"/>
        <v>1089700</v>
      </c>
    </row>
    <row r="94" spans="1:24" ht="18.75" customHeight="1" x14ac:dyDescent="0.25">
      <c r="A94" s="72"/>
      <c r="B94" s="26">
        <v>54</v>
      </c>
      <c r="C94" s="19" t="s">
        <v>165</v>
      </c>
      <c r="D94" s="20" t="s">
        <v>32</v>
      </c>
      <c r="E94" s="22">
        <v>2000000</v>
      </c>
      <c r="F94" s="22">
        <v>30</v>
      </c>
      <c r="G94" s="22">
        <f t="shared" ref="G94:G97" si="80">+E94/30*F94</f>
        <v>2000000.0000000002</v>
      </c>
      <c r="H94" s="22"/>
      <c r="I94" s="22"/>
      <c r="J94" s="22"/>
      <c r="K94" s="22">
        <f t="shared" si="66"/>
        <v>2000000.0000000002</v>
      </c>
      <c r="L94" s="22">
        <f t="shared" si="58"/>
        <v>80000.000000000015</v>
      </c>
      <c r="M94" s="22">
        <f t="shared" si="74"/>
        <v>80000.000000000015</v>
      </c>
      <c r="N94" s="22"/>
      <c r="O94" s="22"/>
      <c r="P94" s="22"/>
      <c r="Q94" s="22"/>
      <c r="R94" s="22"/>
      <c r="S94" s="22"/>
      <c r="T94" s="22">
        <f t="shared" si="28"/>
        <v>160000.00000000003</v>
      </c>
      <c r="U94" s="23">
        <f>+K94-T94</f>
        <v>1840000.0000000002</v>
      </c>
      <c r="V94" s="23"/>
      <c r="W94" s="64"/>
      <c r="X94" s="23">
        <f t="shared" si="59"/>
        <v>1840000.0000000002</v>
      </c>
    </row>
    <row r="95" spans="1:24" ht="24" x14ac:dyDescent="0.25">
      <c r="A95" s="72"/>
      <c r="B95" s="26">
        <v>55</v>
      </c>
      <c r="C95" s="19" t="s">
        <v>168</v>
      </c>
      <c r="D95" s="20" t="s">
        <v>32</v>
      </c>
      <c r="E95" s="22">
        <v>900000</v>
      </c>
      <c r="F95" s="22">
        <v>30</v>
      </c>
      <c r="G95" s="22">
        <f t="shared" si="80"/>
        <v>900000</v>
      </c>
      <c r="H95" s="22">
        <f>+(77700/30)*F95</f>
        <v>77700</v>
      </c>
      <c r="I95" s="22"/>
      <c r="J95" s="22"/>
      <c r="K95" s="22">
        <f t="shared" si="66"/>
        <v>977700</v>
      </c>
      <c r="L95" s="22">
        <f t="shared" si="58"/>
        <v>36000</v>
      </c>
      <c r="M95" s="22">
        <f t="shared" si="74"/>
        <v>36000</v>
      </c>
      <c r="N95" s="22"/>
      <c r="O95" s="22"/>
      <c r="P95" s="22">
        <v>0</v>
      </c>
      <c r="Q95" s="22"/>
      <c r="R95" s="22"/>
      <c r="S95" s="22"/>
      <c r="T95" s="22">
        <f t="shared" si="28"/>
        <v>72000</v>
      </c>
      <c r="U95" s="23">
        <f>K95-T95</f>
        <v>905700</v>
      </c>
      <c r="V95" s="23"/>
      <c r="W95" s="64"/>
      <c r="X95" s="23">
        <f t="shared" si="59"/>
        <v>905700</v>
      </c>
    </row>
    <row r="96" spans="1:24" x14ac:dyDescent="0.25">
      <c r="A96" s="72"/>
      <c r="B96" s="26">
        <v>56</v>
      </c>
      <c r="C96" s="19" t="s">
        <v>176</v>
      </c>
      <c r="D96" s="20" t="s">
        <v>32</v>
      </c>
      <c r="E96" s="22">
        <v>4000000</v>
      </c>
      <c r="F96" s="22">
        <v>30</v>
      </c>
      <c r="G96" s="22">
        <f t="shared" si="80"/>
        <v>4000000.0000000005</v>
      </c>
      <c r="H96" s="22"/>
      <c r="I96" s="22"/>
      <c r="J96" s="22"/>
      <c r="K96" s="22">
        <f t="shared" ref="K96" si="81">SUM(G96:I96)+J96</f>
        <v>4000000.0000000005</v>
      </c>
      <c r="L96" s="22">
        <f t="shared" si="58"/>
        <v>160000.00000000003</v>
      </c>
      <c r="M96" s="22">
        <f>+G96*5%</f>
        <v>200000.00000000003</v>
      </c>
      <c r="N96" s="22"/>
      <c r="O96" s="22">
        <v>38500</v>
      </c>
      <c r="P96" s="22">
        <v>31064</v>
      </c>
      <c r="Q96" s="22"/>
      <c r="R96" s="22"/>
      <c r="S96" s="22"/>
      <c r="T96" s="22">
        <f t="shared" si="28"/>
        <v>429564.00000000006</v>
      </c>
      <c r="U96" s="23">
        <f>+K96-T96</f>
        <v>3570436.0000000005</v>
      </c>
      <c r="V96" s="23"/>
      <c r="W96" s="64"/>
      <c r="X96" s="23">
        <f t="shared" si="59"/>
        <v>3570436.0000000005</v>
      </c>
    </row>
    <row r="97" spans="1:28" ht="24.75" customHeight="1" x14ac:dyDescent="0.25">
      <c r="A97" s="72"/>
      <c r="B97" s="26">
        <v>57</v>
      </c>
      <c r="C97" s="19" t="s">
        <v>166</v>
      </c>
      <c r="D97" s="20" t="s">
        <v>32</v>
      </c>
      <c r="E97" s="22">
        <v>2500000</v>
      </c>
      <c r="F97" s="22">
        <v>30</v>
      </c>
      <c r="G97" s="22">
        <f t="shared" si="80"/>
        <v>2500000</v>
      </c>
      <c r="H97" s="22"/>
      <c r="I97" s="22">
        <v>500000</v>
      </c>
      <c r="J97" s="22"/>
      <c r="K97" s="22">
        <f t="shared" si="66"/>
        <v>3000000</v>
      </c>
      <c r="L97" s="22">
        <v>100000</v>
      </c>
      <c r="M97" s="22">
        <v>100000</v>
      </c>
      <c r="N97" s="22"/>
      <c r="O97" s="22">
        <v>38500</v>
      </c>
      <c r="P97" s="22">
        <v>0</v>
      </c>
      <c r="Q97" s="22"/>
      <c r="R97" s="22"/>
      <c r="S97" s="22"/>
      <c r="T97" s="22">
        <f t="shared" si="28"/>
        <v>238500</v>
      </c>
      <c r="U97" s="23">
        <f>K97-T97</f>
        <v>2761500</v>
      </c>
      <c r="V97" s="23"/>
      <c r="W97" s="64"/>
      <c r="X97" s="23">
        <f t="shared" si="59"/>
        <v>2761500</v>
      </c>
    </row>
    <row r="98" spans="1:28" s="98" customFormat="1" x14ac:dyDescent="0.25">
      <c r="A98" s="26"/>
      <c r="B98" s="26">
        <v>94</v>
      </c>
      <c r="C98" s="19" t="s">
        <v>169</v>
      </c>
      <c r="D98" s="26"/>
      <c r="E98" s="22">
        <f>SUM(E4:E97)</f>
        <v>289866652</v>
      </c>
      <c r="F98" s="22" t="s">
        <v>1</v>
      </c>
      <c r="G98" s="22">
        <f>SUM(G4:G97)</f>
        <v>283132253.5</v>
      </c>
      <c r="H98" s="22">
        <f>SUM(H5:H92)</f>
        <v>1561120</v>
      </c>
      <c r="I98" s="22">
        <f>SUM(I5:I92)</f>
        <v>12614987</v>
      </c>
      <c r="J98" s="22">
        <f>SUM(J4:J97)</f>
        <v>11661177</v>
      </c>
      <c r="K98" s="22">
        <f>SUM(K5:K92)</f>
        <v>293255537.5</v>
      </c>
      <c r="L98" s="22">
        <f>SUM(L5:L92)</f>
        <v>10874671.646666666</v>
      </c>
      <c r="M98" s="22">
        <f>SUM(M5:M92)</f>
        <v>13243473.586666662</v>
      </c>
      <c r="N98" s="22">
        <f>SUM(N5:N92)</f>
        <v>102400</v>
      </c>
      <c r="O98" s="22">
        <f>SUM(O4:O97)</f>
        <v>565399</v>
      </c>
      <c r="P98" s="22">
        <f>SUM(P4:P97)</f>
        <v>4023917</v>
      </c>
      <c r="Q98" s="22">
        <f>SUM(Q5:Q92)</f>
        <v>6200000</v>
      </c>
      <c r="R98" s="22">
        <f>SUM(R5:R92)</f>
        <v>1761279</v>
      </c>
      <c r="S98" s="22">
        <f>SUM(S5:S92)</f>
        <v>10130189</v>
      </c>
      <c r="T98" s="22">
        <f>SUM(T5:T92)</f>
        <v>46697265.233333327</v>
      </c>
      <c r="U98" s="23">
        <f>SUM(U4:U97)</f>
        <v>261410258.26666665</v>
      </c>
      <c r="V98" s="59">
        <f>SUM(V5:V92)</f>
        <v>0</v>
      </c>
      <c r="W98" s="94">
        <f>SUM(W5:W92)</f>
        <v>0</v>
      </c>
      <c r="X98" s="59">
        <f>SUM(X4:X97)</f>
        <v>260775959.66666666</v>
      </c>
    </row>
    <row r="99" spans="1:28" x14ac:dyDescent="0.25">
      <c r="E99" s="76"/>
      <c r="F99" s="76"/>
      <c r="G99" s="76"/>
      <c r="O99" s="67"/>
      <c r="U99" s="77"/>
      <c r="V99" s="77"/>
      <c r="X99" s="77"/>
    </row>
    <row r="100" spans="1:28" x14ac:dyDescent="0.25"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9"/>
      <c r="V100" s="75"/>
      <c r="W100" s="80"/>
      <c r="X100" s="79"/>
    </row>
    <row r="101" spans="1:28" x14ac:dyDescent="0.25"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9"/>
    </row>
    <row r="102" spans="1:28" x14ac:dyDescent="0.25"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9"/>
    </row>
    <row r="103" spans="1:28" x14ac:dyDescent="0.25"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1:28" x14ac:dyDescent="0.25">
      <c r="B104" s="102"/>
      <c r="C104" s="81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76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75"/>
      <c r="Z104" s="75"/>
      <c r="AA104" s="75"/>
      <c r="AB104" s="75"/>
    </row>
    <row r="105" spans="1:28" x14ac:dyDescent="0.25">
      <c r="B105" s="102"/>
      <c r="C105" s="81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1:28" x14ac:dyDescent="0.25">
      <c r="B106" s="102"/>
      <c r="C106" s="81"/>
      <c r="D106" s="75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5"/>
      <c r="V106" s="75"/>
      <c r="W106" s="80"/>
      <c r="X106" s="75"/>
      <c r="Y106" s="75"/>
      <c r="Z106" s="75"/>
      <c r="AA106" s="75"/>
      <c r="AB106" s="75"/>
    </row>
    <row r="107" spans="1:28" x14ac:dyDescent="0.25">
      <c r="B107" s="102"/>
      <c r="C107" s="81"/>
      <c r="D107" s="75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1:28" x14ac:dyDescent="0.25">
      <c r="B108" s="102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4"/>
      <c r="W108" s="85"/>
      <c r="X108" s="84"/>
      <c r="Y108" s="75"/>
      <c r="Z108" s="75"/>
      <c r="AA108" s="75"/>
      <c r="AB108" s="75"/>
    </row>
    <row r="109" spans="1:28" x14ac:dyDescent="0.25">
      <c r="B109" s="105"/>
      <c r="C109" s="81"/>
      <c r="D109" s="84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4"/>
      <c r="V109" s="84"/>
      <c r="W109" s="85"/>
      <c r="X109" s="84"/>
      <c r="Y109" s="75"/>
      <c r="Z109" s="75"/>
      <c r="AA109" s="75"/>
      <c r="AB109" s="75"/>
    </row>
    <row r="110" spans="1:28" x14ac:dyDescent="0.25">
      <c r="B110" s="102"/>
      <c r="C110" s="81"/>
      <c r="D110" s="75"/>
      <c r="E110" s="76"/>
      <c r="F110" s="76"/>
      <c r="G110" s="88"/>
      <c r="H110" s="76"/>
      <c r="I110" s="76"/>
      <c r="J110" s="76"/>
      <c r="K110" s="76"/>
      <c r="L110" s="76"/>
      <c r="M110" s="76"/>
      <c r="N110" s="89"/>
      <c r="O110" s="89"/>
      <c r="P110" s="89"/>
      <c r="Q110" s="89"/>
      <c r="R110" s="89"/>
      <c r="S110" s="76"/>
      <c r="T110" s="76"/>
      <c r="U110" s="75"/>
      <c r="V110" s="75"/>
      <c r="W110" s="80"/>
      <c r="X110" s="75"/>
      <c r="Y110" s="75"/>
      <c r="Z110" s="75"/>
      <c r="AA110" s="75"/>
      <c r="AB110" s="75"/>
    </row>
    <row r="111" spans="1:28" x14ac:dyDescent="0.25">
      <c r="B111" s="102"/>
      <c r="C111" s="90"/>
      <c r="D111" s="8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4"/>
      <c r="V111" s="84"/>
      <c r="W111" s="85"/>
      <c r="X111" s="84"/>
      <c r="Y111" s="75"/>
      <c r="Z111" s="75"/>
      <c r="AA111" s="75"/>
      <c r="AB111" s="75"/>
    </row>
    <row r="112" spans="1:28" x14ac:dyDescent="0.25">
      <c r="B112" s="108"/>
      <c r="C112" s="90"/>
      <c r="D112" s="84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4"/>
      <c r="V112" s="84"/>
      <c r="W112" s="85"/>
      <c r="X112" s="84"/>
      <c r="Y112" s="75"/>
      <c r="Z112" s="75"/>
      <c r="AA112" s="75"/>
      <c r="AB112" s="75"/>
    </row>
    <row r="113" spans="2:28" x14ac:dyDescent="0.25">
      <c r="B113" s="102"/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2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2:28" x14ac:dyDescent="0.25"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8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8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8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81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114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114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114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81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114"/>
      <c r="P131" s="76"/>
      <c r="Q131" s="76"/>
      <c r="R131" s="76"/>
      <c r="S131" s="76"/>
      <c r="T131" s="76"/>
      <c r="U131" s="75"/>
      <c r="V131" s="75"/>
      <c r="W131" s="80"/>
      <c r="X131" s="75"/>
      <c r="Y131" s="75"/>
      <c r="Z131" s="75"/>
      <c r="AA131" s="75"/>
      <c r="AB131" s="75"/>
    </row>
    <row r="132" spans="2:28" x14ac:dyDescent="0.25">
      <c r="C132" s="81"/>
      <c r="D132" s="75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75"/>
      <c r="S132" s="76"/>
      <c r="T132" s="76"/>
      <c r="U132" s="75"/>
      <c r="V132" s="75"/>
      <c r="W132" s="80"/>
      <c r="X132" s="75"/>
      <c r="Y132" s="75"/>
      <c r="Z132" s="75"/>
      <c r="AA132" s="75"/>
      <c r="AB132" s="75"/>
    </row>
    <row r="133" spans="2:28" x14ac:dyDescent="0.25">
      <c r="B133" s="102"/>
      <c r="C133" s="81"/>
      <c r="D133" s="231"/>
      <c r="E133" s="231"/>
      <c r="F133" s="231"/>
      <c r="G133" s="231"/>
      <c r="H133" s="231"/>
      <c r="I133" s="231"/>
      <c r="J133" s="231"/>
      <c r="K133" s="231"/>
      <c r="L133" s="231"/>
      <c r="M133" s="231"/>
      <c r="N133" s="231"/>
      <c r="O133" s="231"/>
      <c r="P133" s="231"/>
      <c r="Q133" s="231"/>
      <c r="R133" s="231"/>
      <c r="S133" s="231"/>
      <c r="T133" s="231"/>
      <c r="U133" s="231"/>
      <c r="V133" s="231"/>
      <c r="W133" s="231"/>
      <c r="X133" s="231"/>
      <c r="Y133" s="75"/>
      <c r="Z133" s="75"/>
      <c r="AA133" s="75"/>
      <c r="AB133" s="75"/>
    </row>
    <row r="134" spans="2:28" x14ac:dyDescent="0.25">
      <c r="B134" s="102"/>
      <c r="C134" s="81"/>
      <c r="D134" s="75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115"/>
      <c r="P134" s="87"/>
      <c r="Q134" s="87"/>
      <c r="R134" s="87"/>
      <c r="S134" s="87"/>
      <c r="T134" s="87"/>
      <c r="U134" s="84"/>
      <c r="V134" s="84"/>
      <c r="W134" s="85"/>
      <c r="X134" s="84"/>
      <c r="Y134" s="75"/>
      <c r="Z134" s="75"/>
      <c r="AA134" s="75"/>
      <c r="AB134" s="75"/>
    </row>
    <row r="135" spans="2:28" x14ac:dyDescent="0.25">
      <c r="B135" s="102"/>
      <c r="C135" s="90"/>
      <c r="D135" s="84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115"/>
      <c r="P135" s="87"/>
      <c r="Q135" s="87"/>
      <c r="R135" s="87"/>
      <c r="S135" s="87"/>
      <c r="T135" s="87"/>
      <c r="U135" s="84"/>
      <c r="V135" s="84"/>
      <c r="W135" s="85"/>
      <c r="X135" s="84"/>
    </row>
    <row r="136" spans="2:28" x14ac:dyDescent="0.25">
      <c r="B136" s="109"/>
      <c r="C136" s="90"/>
      <c r="D136" s="84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115"/>
      <c r="P136" s="87"/>
      <c r="Q136" s="87"/>
      <c r="R136" s="87"/>
      <c r="S136" s="87"/>
      <c r="T136" s="87"/>
      <c r="U136" s="84"/>
      <c r="V136" s="84"/>
      <c r="W136" s="85"/>
      <c r="X136" s="84"/>
    </row>
    <row r="137" spans="2:28" x14ac:dyDescent="0.25">
      <c r="C137" s="90"/>
      <c r="D137" s="84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114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90"/>
      <c r="D138" s="84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114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C139" s="90"/>
      <c r="D139" s="8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114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114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C141" s="90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114"/>
      <c r="P141" s="76"/>
      <c r="Q141" s="76"/>
      <c r="R141" s="76"/>
      <c r="S141" s="76"/>
      <c r="T141" s="76"/>
      <c r="U141" s="79"/>
      <c r="V141" s="79"/>
      <c r="W141" s="80"/>
      <c r="X141" s="79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114"/>
      <c r="P142" s="76"/>
      <c r="Q142" s="76"/>
      <c r="R142" s="76"/>
      <c r="S142" s="76"/>
      <c r="T142" s="76"/>
      <c r="U142" s="75"/>
      <c r="V142" s="75"/>
      <c r="W142" s="80"/>
      <c r="X142" s="75"/>
    </row>
    <row r="143" spans="2:28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114"/>
      <c r="P143" s="76"/>
      <c r="Q143" s="76"/>
      <c r="R143" s="76"/>
      <c r="S143" s="76"/>
      <c r="T143" s="76"/>
      <c r="U143" s="79"/>
      <c r="V143" s="79"/>
      <c r="W143" s="80"/>
      <c r="X143" s="79"/>
    </row>
    <row r="144" spans="2:28" x14ac:dyDescent="0.25">
      <c r="B144" s="102"/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114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2:24" x14ac:dyDescent="0.25">
      <c r="B145" s="102"/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114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2:24" x14ac:dyDescent="0.25">
      <c r="B146" s="102"/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114"/>
      <c r="P146" s="76"/>
      <c r="Q146" s="76"/>
      <c r="R146" s="76"/>
      <c r="S146" s="76"/>
      <c r="T146" s="76"/>
      <c r="U146" s="92"/>
      <c r="V146" s="92"/>
      <c r="W146" s="80"/>
      <c r="X146" s="92"/>
    </row>
    <row r="147" spans="2:24" x14ac:dyDescent="0.25">
      <c r="B147" s="102"/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114"/>
      <c r="P147" s="76"/>
      <c r="Q147" s="76"/>
      <c r="R147" s="76"/>
      <c r="S147" s="76"/>
      <c r="T147" s="76"/>
      <c r="U147" s="93"/>
      <c r="V147" s="93"/>
      <c r="W147" s="80"/>
      <c r="X147" s="93"/>
    </row>
    <row r="148" spans="2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114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2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114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114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2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114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114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114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4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114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C155" s="81"/>
      <c r="D155" s="75"/>
      <c r="E155" s="76"/>
      <c r="F155" s="76"/>
      <c r="G155" s="76"/>
      <c r="H155" s="76"/>
      <c r="I155" s="76"/>
      <c r="J155" s="76"/>
      <c r="K155" s="76"/>
      <c r="L155" s="76">
        <v>3003000</v>
      </c>
      <c r="M155" s="76"/>
      <c r="N155" s="76"/>
      <c r="O155" s="114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C156" s="90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114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4" x14ac:dyDescent="0.25">
      <c r="C157" s="90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114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2:24" x14ac:dyDescent="0.25">
      <c r="C158" s="90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114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90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114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81">
        <v>42614840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114"/>
      <c r="P160" s="76"/>
      <c r="Q160" s="76"/>
      <c r="R160" s="76"/>
      <c r="S160" s="76"/>
      <c r="T160" s="76">
        <v>412608</v>
      </c>
      <c r="U160" s="75"/>
      <c r="V160" s="75"/>
      <c r="W160" s="80"/>
      <c r="X160" s="75"/>
    </row>
    <row r="161" spans="3:24" x14ac:dyDescent="0.25">
      <c r="C161" s="81">
        <v>9675182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114"/>
      <c r="P161" s="76"/>
      <c r="Q161" s="76"/>
      <c r="R161" s="76"/>
      <c r="S161" s="76"/>
      <c r="T161" s="76">
        <v>1880000</v>
      </c>
      <c r="U161" s="75"/>
      <c r="V161" s="75"/>
      <c r="W161" s="80"/>
      <c r="X161" s="75"/>
    </row>
    <row r="162" spans="3:24" x14ac:dyDescent="0.25">
      <c r="C162" s="81">
        <v>17903600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114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>
        <f>SUM(C160:C162)</f>
        <v>70193622</v>
      </c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114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>
        <v>400000</v>
      </c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114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>
        <f>+C163+C164</f>
        <v>70593622</v>
      </c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114"/>
      <c r="P165" s="76"/>
      <c r="Q165" s="76"/>
      <c r="R165" s="76"/>
      <c r="S165" s="76"/>
      <c r="T165" s="76"/>
      <c r="U165" s="75"/>
      <c r="V165" s="75"/>
      <c r="W165" s="80"/>
      <c r="X165" s="75"/>
    </row>
    <row r="168" spans="3:24" x14ac:dyDescent="0.25">
      <c r="C168" s="74">
        <v>64000000</v>
      </c>
    </row>
    <row r="169" spans="3:24" x14ac:dyDescent="0.25">
      <c r="C169" s="74">
        <v>11000000</v>
      </c>
    </row>
    <row r="170" spans="3:24" x14ac:dyDescent="0.25">
      <c r="C170" s="74">
        <f>+C168+C169</f>
        <v>75000000</v>
      </c>
    </row>
    <row r="174" spans="3:24" x14ac:dyDescent="0.25">
      <c r="C174" s="74">
        <v>2745000</v>
      </c>
    </row>
    <row r="175" spans="3:24" x14ac:dyDescent="0.25">
      <c r="C175" s="74">
        <v>3185000</v>
      </c>
    </row>
    <row r="176" spans="3:24" x14ac:dyDescent="0.25">
      <c r="C176" s="74">
        <v>1080000</v>
      </c>
    </row>
    <row r="177" spans="3:3" x14ac:dyDescent="0.25">
      <c r="C177" s="74">
        <v>4850100</v>
      </c>
    </row>
    <row r="178" spans="3:3" x14ac:dyDescent="0.25">
      <c r="C178" s="74">
        <v>5027500</v>
      </c>
    </row>
    <row r="179" spans="3:3" x14ac:dyDescent="0.25">
      <c r="C179" s="74">
        <v>4566000</v>
      </c>
    </row>
    <row r="180" spans="3:3" x14ac:dyDescent="0.25">
      <c r="C180" s="74">
        <v>1050000</v>
      </c>
    </row>
    <row r="181" spans="3:3" x14ac:dyDescent="0.25">
      <c r="C181" s="74">
        <v>3877333</v>
      </c>
    </row>
    <row r="182" spans="3:3" x14ac:dyDescent="0.25">
      <c r="C182" s="74">
        <v>6732440</v>
      </c>
    </row>
    <row r="183" spans="3:3" x14ac:dyDescent="0.25">
      <c r="C183" s="74">
        <v>3460000</v>
      </c>
    </row>
    <row r="184" spans="3:3" x14ac:dyDescent="0.25">
      <c r="C184" s="74">
        <v>588800</v>
      </c>
    </row>
    <row r="185" spans="3:3" x14ac:dyDescent="0.25">
      <c r="C185" s="74">
        <v>1868000</v>
      </c>
    </row>
    <row r="186" spans="3:3" x14ac:dyDescent="0.25">
      <c r="C186" s="74">
        <v>10313000</v>
      </c>
    </row>
    <row r="187" spans="3:3" x14ac:dyDescent="0.25">
      <c r="C187" s="74">
        <v>3443800</v>
      </c>
    </row>
    <row r="188" spans="3:3" x14ac:dyDescent="0.25">
      <c r="C188" s="74">
        <v>8136400</v>
      </c>
    </row>
    <row r="189" spans="3:3" x14ac:dyDescent="0.25">
      <c r="C189" s="74">
        <v>9675183</v>
      </c>
    </row>
    <row r="190" spans="3:3" x14ac:dyDescent="0.25">
      <c r="C190" s="74">
        <f>SUM(C174:C189)</f>
        <v>70598556</v>
      </c>
    </row>
  </sheetData>
  <mergeCells count="7">
    <mergeCell ref="D133:X133"/>
    <mergeCell ref="C1:U1"/>
    <mergeCell ref="E2:K2"/>
    <mergeCell ref="L2:T2"/>
    <mergeCell ref="A3:A40"/>
    <mergeCell ref="A41:A92"/>
    <mergeCell ref="E132:Q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</vt:lpstr>
      <vt:lpstr>MARZO</vt:lpstr>
      <vt:lpstr>ABRIL</vt:lpstr>
      <vt:lpstr>MAYO </vt:lpstr>
      <vt:lpstr>JUNIO</vt:lpstr>
      <vt:lpstr>JULIO </vt:lpstr>
      <vt:lpstr>AGOSTO 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2019-05-27T14:18:41Z</dcterms:modified>
</cp:coreProperties>
</file>