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FCC2B2A-3AE2-4147-807F-4E493147FECE}" xr6:coauthVersionLast="43" xr6:coauthVersionMax="43" xr10:uidLastSave="{00000000-0000-0000-0000-000000000000}"/>
  <bookViews>
    <workbookView xWindow="-120" yWindow="-120" windowWidth="24240" windowHeight="13140" activeTab="6" xr2:uid="{00000000-000D-0000-FFFF-FFFF00000000}"/>
  </bookViews>
  <sheets>
    <sheet name="ENERO " sheetId="1" r:id="rId1"/>
    <sheet name="FEBRERO " sheetId="2" r:id="rId2"/>
    <sheet name="MARZO " sheetId="3" r:id="rId3"/>
    <sheet name="ABRIL " sheetId="4" r:id="rId4"/>
    <sheet name="MAYO " sheetId="5" r:id="rId5"/>
    <sheet name="JUNIO " sheetId="6" r:id="rId6"/>
    <sheet name="SEPTIEMBRE " sheetId="9" r:id="rId7"/>
    <sheet name="OCTUBRE " sheetId="10" r:id="rId8"/>
    <sheet name="NOVIEMBRE " sheetId="11" r:id="rId9"/>
    <sheet name="DICIEMBRE 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4" i="12" l="1"/>
  <c r="C184" i="12"/>
  <c r="C177" i="12"/>
  <c r="C179" i="12" s="1"/>
  <c r="M138" i="12"/>
  <c r="L138" i="12"/>
  <c r="X112" i="12"/>
  <c r="W112" i="12"/>
  <c r="S112" i="12"/>
  <c r="R112" i="12"/>
  <c r="Q112" i="12"/>
  <c r="P112" i="12"/>
  <c r="O112" i="12"/>
  <c r="J112" i="12"/>
  <c r="E112" i="12"/>
  <c r="H111" i="12"/>
  <c r="G111" i="12"/>
  <c r="N111" i="12" s="1"/>
  <c r="U110" i="12"/>
  <c r="G110" i="12"/>
  <c r="L110" i="12" s="1"/>
  <c r="V110" i="12" s="1"/>
  <c r="Y110" i="12" s="1"/>
  <c r="G109" i="12"/>
  <c r="M108" i="12"/>
  <c r="U108" i="12" s="1"/>
  <c r="G108" i="12"/>
  <c r="L108" i="12" s="1"/>
  <c r="U107" i="12"/>
  <c r="L107" i="12"/>
  <c r="V107" i="12" s="1"/>
  <c r="Y107" i="12" s="1"/>
  <c r="G107" i="12"/>
  <c r="N106" i="12"/>
  <c r="M106" i="12"/>
  <c r="U106" i="12" s="1"/>
  <c r="K106" i="12"/>
  <c r="L106" i="12" s="1"/>
  <c r="V106" i="12" s="1"/>
  <c r="Y106" i="12" s="1"/>
  <c r="G106" i="12"/>
  <c r="G105" i="12"/>
  <c r="L105" i="12" s="1"/>
  <c r="K104" i="12"/>
  <c r="L104" i="12" s="1"/>
  <c r="M104" i="12" s="1"/>
  <c r="U104" i="12" s="1"/>
  <c r="G104" i="12"/>
  <c r="N103" i="12"/>
  <c r="M103" i="12"/>
  <c r="U103" i="12" s="1"/>
  <c r="G103" i="12"/>
  <c r="K103" i="12" s="1"/>
  <c r="L103" i="12" s="1"/>
  <c r="N102" i="12"/>
  <c r="U102" i="12" s="1"/>
  <c r="M102" i="12"/>
  <c r="G102" i="12"/>
  <c r="K102" i="12" s="1"/>
  <c r="L102" i="12" s="1"/>
  <c r="K101" i="12"/>
  <c r="L101" i="12" s="1"/>
  <c r="G101" i="12"/>
  <c r="G100" i="12"/>
  <c r="N100" i="12" s="1"/>
  <c r="N99" i="12"/>
  <c r="M99" i="12"/>
  <c r="U99" i="12" s="1"/>
  <c r="K99" i="12"/>
  <c r="L99" i="12" s="1"/>
  <c r="G99" i="12"/>
  <c r="N98" i="12"/>
  <c r="M98" i="12"/>
  <c r="U98" i="12" s="1"/>
  <c r="G98" i="12"/>
  <c r="K98" i="12" s="1"/>
  <c r="L98" i="12" s="1"/>
  <c r="U97" i="12"/>
  <c r="G97" i="12"/>
  <c r="L97" i="12" s="1"/>
  <c r="V97" i="12" s="1"/>
  <c r="Y97" i="12" s="1"/>
  <c r="U96" i="12"/>
  <c r="G96" i="12"/>
  <c r="K96" i="12" s="1"/>
  <c r="L96" i="12" s="1"/>
  <c r="V96" i="12" s="1"/>
  <c r="Y96" i="12" s="1"/>
  <c r="N95" i="12"/>
  <c r="M95" i="12"/>
  <c r="G95" i="12"/>
  <c r="K95" i="12" s="1"/>
  <c r="L95" i="12" s="1"/>
  <c r="U94" i="12"/>
  <c r="G94" i="12"/>
  <c r="K94" i="12" s="1"/>
  <c r="N93" i="12"/>
  <c r="U93" i="12" s="1"/>
  <c r="K93" i="12"/>
  <c r="L93" i="12" s="1"/>
  <c r="V93" i="12" s="1"/>
  <c r="Y93" i="12" s="1"/>
  <c r="G93" i="12"/>
  <c r="K92" i="12"/>
  <c r="L92" i="12" s="1"/>
  <c r="G92" i="12"/>
  <c r="N92" i="12" s="1"/>
  <c r="U91" i="12"/>
  <c r="N91" i="12"/>
  <c r="M91" i="12"/>
  <c r="G91" i="12"/>
  <c r="K91" i="12" s="1"/>
  <c r="L91" i="12" s="1"/>
  <c r="U90" i="12"/>
  <c r="K90" i="12"/>
  <c r="L90" i="12" s="1"/>
  <c r="V90" i="12" s="1"/>
  <c r="Y90" i="12" s="1"/>
  <c r="G90" i="12"/>
  <c r="M89" i="12"/>
  <c r="G89" i="12"/>
  <c r="N89" i="12" s="1"/>
  <c r="M88" i="12"/>
  <c r="U88" i="12" s="1"/>
  <c r="K88" i="12"/>
  <c r="L88" i="12" s="1"/>
  <c r="V88" i="12" s="1"/>
  <c r="Y88" i="12" s="1"/>
  <c r="G88" i="12"/>
  <c r="N88" i="12" s="1"/>
  <c r="K87" i="12"/>
  <c r="L87" i="12" s="1"/>
  <c r="G87" i="12"/>
  <c r="M86" i="12"/>
  <c r="U86" i="12" s="1"/>
  <c r="G86" i="12"/>
  <c r="N86" i="12" s="1"/>
  <c r="N85" i="12"/>
  <c r="M85" i="12"/>
  <c r="U85" i="12" s="1"/>
  <c r="G85" i="12"/>
  <c r="K85" i="12" s="1"/>
  <c r="L85" i="12" s="1"/>
  <c r="U84" i="12"/>
  <c r="L84" i="12"/>
  <c r="N83" i="12"/>
  <c r="M83" i="12"/>
  <c r="U83" i="12" s="1"/>
  <c r="G83" i="12"/>
  <c r="K83" i="12" s="1"/>
  <c r="L83" i="12" s="1"/>
  <c r="N82" i="12"/>
  <c r="M82" i="12"/>
  <c r="K82" i="12"/>
  <c r="L82" i="12" s="1"/>
  <c r="G82" i="12"/>
  <c r="U81" i="12"/>
  <c r="H81" i="12"/>
  <c r="G81" i="12"/>
  <c r="N80" i="12"/>
  <c r="M80" i="12"/>
  <c r="G80" i="12"/>
  <c r="K80" i="12" s="1"/>
  <c r="L80" i="12" s="1"/>
  <c r="V80" i="12" s="1"/>
  <c r="Y80" i="12" s="1"/>
  <c r="K79" i="12"/>
  <c r="L79" i="12" s="1"/>
  <c r="G79" i="12"/>
  <c r="N79" i="12" s="1"/>
  <c r="M78" i="12"/>
  <c r="G78" i="12"/>
  <c r="N78" i="12" s="1"/>
  <c r="N77" i="12"/>
  <c r="M77" i="12"/>
  <c r="U77" i="12" s="1"/>
  <c r="G77" i="12"/>
  <c r="K77" i="12" s="1"/>
  <c r="L77" i="12" s="1"/>
  <c r="V77" i="12" s="1"/>
  <c r="Y77" i="12" s="1"/>
  <c r="N76" i="12"/>
  <c r="M76" i="12"/>
  <c r="U76" i="12" s="1"/>
  <c r="G76" i="12"/>
  <c r="K76" i="12" s="1"/>
  <c r="L76" i="12" s="1"/>
  <c r="M75" i="12"/>
  <c r="U75" i="12" s="1"/>
  <c r="K75" i="12"/>
  <c r="L75" i="12" s="1"/>
  <c r="G75" i="12"/>
  <c r="N75" i="12" s="1"/>
  <c r="N74" i="12"/>
  <c r="M74" i="12"/>
  <c r="U74" i="12" s="1"/>
  <c r="G74" i="12"/>
  <c r="L74" i="12" s="1"/>
  <c r="M73" i="12"/>
  <c r="G73" i="12"/>
  <c r="L73" i="12" s="1"/>
  <c r="AB72" i="12"/>
  <c r="L72" i="12"/>
  <c r="H72" i="12"/>
  <c r="G72" i="12"/>
  <c r="N72" i="12" s="1"/>
  <c r="AB71" i="12"/>
  <c r="M71" i="12"/>
  <c r="H71" i="12"/>
  <c r="G71" i="12"/>
  <c r="L71" i="12" s="1"/>
  <c r="U70" i="12"/>
  <c r="G70" i="12"/>
  <c r="L70" i="12" s="1"/>
  <c r="V70" i="12" s="1"/>
  <c r="Y70" i="12" s="1"/>
  <c r="AB69" i="12"/>
  <c r="N69" i="12"/>
  <c r="M69" i="12"/>
  <c r="U69" i="12" s="1"/>
  <c r="G69" i="12"/>
  <c r="K69" i="12" s="1"/>
  <c r="L69" i="12" s="1"/>
  <c r="N68" i="12"/>
  <c r="U68" i="12" s="1"/>
  <c r="M68" i="12"/>
  <c r="K68" i="12"/>
  <c r="L68" i="12" s="1"/>
  <c r="G68" i="12"/>
  <c r="K67" i="12"/>
  <c r="L67" i="12" s="1"/>
  <c r="H67" i="12"/>
  <c r="G67" i="12"/>
  <c r="N67" i="12" s="1"/>
  <c r="N66" i="12"/>
  <c r="M66" i="12"/>
  <c r="U66" i="12" s="1"/>
  <c r="G66" i="12"/>
  <c r="K66" i="12" s="1"/>
  <c r="L66" i="12" s="1"/>
  <c r="N65" i="12"/>
  <c r="U65" i="12" s="1"/>
  <c r="M65" i="12"/>
  <c r="L65" i="12"/>
  <c r="V65" i="12" s="1"/>
  <c r="Y65" i="12" s="1"/>
  <c r="G65" i="12"/>
  <c r="H64" i="12"/>
  <c r="H112" i="12" s="1"/>
  <c r="G64" i="12"/>
  <c r="N64" i="12" s="1"/>
  <c r="M63" i="12"/>
  <c r="G63" i="12"/>
  <c r="G62" i="12"/>
  <c r="L62" i="12" s="1"/>
  <c r="G61" i="12"/>
  <c r="L61" i="12" s="1"/>
  <c r="N60" i="12"/>
  <c r="M60" i="12"/>
  <c r="G60" i="12"/>
  <c r="L60" i="12" s="1"/>
  <c r="N59" i="12"/>
  <c r="M59" i="12"/>
  <c r="G59" i="12"/>
  <c r="K59" i="12" s="1"/>
  <c r="L59" i="12" s="1"/>
  <c r="V59" i="12" s="1"/>
  <c r="Y59" i="12" s="1"/>
  <c r="N58" i="12"/>
  <c r="M58" i="12"/>
  <c r="G58" i="12"/>
  <c r="K58" i="12" s="1"/>
  <c r="L58" i="12" s="1"/>
  <c r="G57" i="12"/>
  <c r="N57" i="12" s="1"/>
  <c r="N56" i="12"/>
  <c r="M56" i="12"/>
  <c r="G56" i="12"/>
  <c r="L56" i="12" s="1"/>
  <c r="G55" i="12"/>
  <c r="M55" i="12" s="1"/>
  <c r="U54" i="12"/>
  <c r="G54" i="12"/>
  <c r="L54" i="12" s="1"/>
  <c r="V54" i="12" s="1"/>
  <c r="Y54" i="12" s="1"/>
  <c r="N53" i="12"/>
  <c r="M53" i="12"/>
  <c r="U53" i="12" s="1"/>
  <c r="G53" i="12"/>
  <c r="K53" i="12" s="1"/>
  <c r="L53" i="12" s="1"/>
  <c r="N52" i="12"/>
  <c r="U52" i="12" s="1"/>
  <c r="M52" i="12"/>
  <c r="K52" i="12"/>
  <c r="L52" i="12" s="1"/>
  <c r="G52" i="12"/>
  <c r="N51" i="12"/>
  <c r="M51" i="12"/>
  <c r="G51" i="12"/>
  <c r="L51" i="12" s="1"/>
  <c r="N50" i="12"/>
  <c r="M50" i="12"/>
  <c r="G50" i="12"/>
  <c r="L50" i="12" s="1"/>
  <c r="T49" i="12"/>
  <c r="U49" i="12" s="1"/>
  <c r="G49" i="12"/>
  <c r="K49" i="12" s="1"/>
  <c r="L49" i="12" s="1"/>
  <c r="G48" i="12"/>
  <c r="L48" i="12" s="1"/>
  <c r="V48" i="12" s="1"/>
  <c r="Y48" i="12" s="1"/>
  <c r="U47" i="12"/>
  <c r="G47" i="12"/>
  <c r="L47" i="12" s="1"/>
  <c r="V47" i="12" s="1"/>
  <c r="Y47" i="12" s="1"/>
  <c r="N46" i="12"/>
  <c r="L46" i="12"/>
  <c r="G46" i="12"/>
  <c r="M46" i="12" s="1"/>
  <c r="M45" i="12"/>
  <c r="G45" i="12"/>
  <c r="L45" i="12" s="1"/>
  <c r="M44" i="12"/>
  <c r="G44" i="12"/>
  <c r="L44" i="12" s="1"/>
  <c r="N43" i="12"/>
  <c r="L43" i="12"/>
  <c r="G43" i="12"/>
  <c r="M43" i="12" s="1"/>
  <c r="U43" i="12" s="1"/>
  <c r="U42" i="12"/>
  <c r="N42" i="12"/>
  <c r="M42" i="12"/>
  <c r="G42" i="12"/>
  <c r="L42" i="12" s="1"/>
  <c r="N41" i="12"/>
  <c r="U41" i="12" s="1"/>
  <c r="M41" i="12"/>
  <c r="L41" i="12"/>
  <c r="G41" i="12"/>
  <c r="M40" i="12"/>
  <c r="G40" i="12"/>
  <c r="L40" i="12" s="1"/>
  <c r="U39" i="12"/>
  <c r="L39" i="12"/>
  <c r="V39" i="12" s="1"/>
  <c r="Y39" i="12" s="1"/>
  <c r="G39" i="12"/>
  <c r="M38" i="12"/>
  <c r="G38" i="12"/>
  <c r="L38" i="12" s="1"/>
  <c r="N37" i="12"/>
  <c r="M37" i="12"/>
  <c r="L37" i="12"/>
  <c r="G37" i="12"/>
  <c r="U36" i="12"/>
  <c r="N36" i="12"/>
  <c r="M36" i="12"/>
  <c r="G36" i="12"/>
  <c r="L36" i="12" s="1"/>
  <c r="N35" i="12"/>
  <c r="G35" i="12"/>
  <c r="M35" i="12" s="1"/>
  <c r="G34" i="12"/>
  <c r="L34" i="12" s="1"/>
  <c r="N33" i="12"/>
  <c r="L33" i="12"/>
  <c r="G33" i="12"/>
  <c r="M33" i="12" s="1"/>
  <c r="U33" i="12" s="1"/>
  <c r="U32" i="12"/>
  <c r="N32" i="12"/>
  <c r="M32" i="12"/>
  <c r="G32" i="12"/>
  <c r="L32" i="12" s="1"/>
  <c r="G31" i="12"/>
  <c r="K31" i="12" s="1"/>
  <c r="L31" i="12" s="1"/>
  <c r="N30" i="12"/>
  <c r="M30" i="12"/>
  <c r="G30" i="12"/>
  <c r="L30" i="12" s="1"/>
  <c r="U29" i="12"/>
  <c r="G29" i="12"/>
  <c r="L29" i="12" s="1"/>
  <c r="V29" i="12" s="1"/>
  <c r="Y29" i="12" s="1"/>
  <c r="N28" i="12"/>
  <c r="M28" i="12"/>
  <c r="G28" i="12"/>
  <c r="K28" i="12" s="1"/>
  <c r="L28" i="12" s="1"/>
  <c r="G27" i="12"/>
  <c r="K27" i="12" s="1"/>
  <c r="L27" i="12" s="1"/>
  <c r="N26" i="12"/>
  <c r="L26" i="12"/>
  <c r="G26" i="12"/>
  <c r="M26" i="12" s="1"/>
  <c r="U26" i="12" s="1"/>
  <c r="N25" i="12"/>
  <c r="M25" i="12"/>
  <c r="G25" i="12"/>
  <c r="L25" i="12" s="1"/>
  <c r="U24" i="12"/>
  <c r="G24" i="12"/>
  <c r="L24" i="12" s="1"/>
  <c r="V24" i="12" s="1"/>
  <c r="Y24" i="12" s="1"/>
  <c r="T23" i="12"/>
  <c r="U23" i="12" s="1"/>
  <c r="G23" i="12"/>
  <c r="L23" i="12" s="1"/>
  <c r="V23" i="12" s="1"/>
  <c r="Y23" i="12" s="1"/>
  <c r="G22" i="12"/>
  <c r="N22" i="12" s="1"/>
  <c r="G21" i="12"/>
  <c r="M21" i="12" s="1"/>
  <c r="N20" i="12"/>
  <c r="U20" i="12" s="1"/>
  <c r="G20" i="12"/>
  <c r="L20" i="12" s="1"/>
  <c r="V20" i="12" s="1"/>
  <c r="Y20" i="12" s="1"/>
  <c r="N19" i="12"/>
  <c r="U19" i="12" s="1"/>
  <c r="M19" i="12"/>
  <c r="G19" i="12"/>
  <c r="L19" i="12" s="1"/>
  <c r="N18" i="12"/>
  <c r="L18" i="12"/>
  <c r="G18" i="12"/>
  <c r="M18" i="12" s="1"/>
  <c r="N17" i="12"/>
  <c r="M17" i="12"/>
  <c r="G17" i="12"/>
  <c r="L17" i="12" s="1"/>
  <c r="U16" i="12"/>
  <c r="G16" i="12"/>
  <c r="K16" i="12" s="1"/>
  <c r="L16" i="12" s="1"/>
  <c r="V16" i="12" s="1"/>
  <c r="Y16" i="12" s="1"/>
  <c r="N15" i="12"/>
  <c r="M15" i="12"/>
  <c r="G15" i="12"/>
  <c r="K15" i="12" s="1"/>
  <c r="U14" i="12"/>
  <c r="G14" i="12"/>
  <c r="L14" i="12" s="1"/>
  <c r="V14" i="12" s="1"/>
  <c r="Y14" i="12" s="1"/>
  <c r="G13" i="12"/>
  <c r="N13" i="12" s="1"/>
  <c r="N12" i="12"/>
  <c r="U12" i="12" s="1"/>
  <c r="M12" i="12"/>
  <c r="L12" i="12"/>
  <c r="G12" i="12"/>
  <c r="N11" i="12"/>
  <c r="M11" i="12"/>
  <c r="G11" i="12"/>
  <c r="L11" i="12" s="1"/>
  <c r="T10" i="12"/>
  <c r="G10" i="12"/>
  <c r="L10" i="12" s="1"/>
  <c r="N9" i="12"/>
  <c r="M9" i="12"/>
  <c r="U9" i="12" s="1"/>
  <c r="G9" i="12"/>
  <c r="L9" i="12" s="1"/>
  <c r="V9" i="12" s="1"/>
  <c r="Y9" i="12" s="1"/>
  <c r="G8" i="12"/>
  <c r="L8" i="12" s="1"/>
  <c r="G7" i="12"/>
  <c r="L7" i="12" s="1"/>
  <c r="N6" i="12"/>
  <c r="M6" i="12"/>
  <c r="U6" i="12" s="1"/>
  <c r="G6" i="12"/>
  <c r="L6" i="12" s="1"/>
  <c r="N5" i="12"/>
  <c r="M5" i="12"/>
  <c r="L5" i="12"/>
  <c r="G5" i="12"/>
  <c r="U4" i="12"/>
  <c r="N4" i="12"/>
  <c r="M4" i="12"/>
  <c r="G4" i="12"/>
  <c r="C203" i="11"/>
  <c r="C183" i="11"/>
  <c r="C176" i="11"/>
  <c r="C178" i="11" s="1"/>
  <c r="M137" i="11"/>
  <c r="L137" i="11"/>
  <c r="X111" i="11"/>
  <c r="W111" i="11"/>
  <c r="S111" i="11"/>
  <c r="R111" i="11"/>
  <c r="Q111" i="11"/>
  <c r="P111" i="11"/>
  <c r="O111" i="11"/>
  <c r="J111" i="11"/>
  <c r="E111" i="11"/>
  <c r="M110" i="11"/>
  <c r="H110" i="11"/>
  <c r="G110" i="11"/>
  <c r="N110" i="11" s="1"/>
  <c r="V109" i="11"/>
  <c r="Y109" i="11" s="1"/>
  <c r="U109" i="11"/>
  <c r="G109" i="11"/>
  <c r="L109" i="11" s="1"/>
  <c r="G108" i="11"/>
  <c r="M107" i="11"/>
  <c r="U107" i="11" s="1"/>
  <c r="G107" i="11"/>
  <c r="L107" i="11" s="1"/>
  <c r="U106" i="11"/>
  <c r="G106" i="11"/>
  <c r="L106" i="11" s="1"/>
  <c r="V106" i="11" s="1"/>
  <c r="Y106" i="11" s="1"/>
  <c r="N105" i="11"/>
  <c r="M105" i="11"/>
  <c r="U105" i="11" s="1"/>
  <c r="G105" i="11"/>
  <c r="L105" i="11" s="1"/>
  <c r="G104" i="11"/>
  <c r="G103" i="11"/>
  <c r="L103" i="11" s="1"/>
  <c r="G102" i="11"/>
  <c r="N101" i="11"/>
  <c r="U101" i="11" s="1"/>
  <c r="M101" i="11"/>
  <c r="G101" i="11"/>
  <c r="L101" i="11" s="1"/>
  <c r="V101" i="11" s="1"/>
  <c r="Y101" i="11" s="1"/>
  <c r="N100" i="11"/>
  <c r="G100" i="11"/>
  <c r="L100" i="11" s="1"/>
  <c r="N99" i="11"/>
  <c r="G99" i="11"/>
  <c r="M99" i="11" s="1"/>
  <c r="U99" i="11" s="1"/>
  <c r="U98" i="11"/>
  <c r="N98" i="11"/>
  <c r="M98" i="11"/>
  <c r="G98" i="11"/>
  <c r="L98" i="11" s="1"/>
  <c r="L97" i="11"/>
  <c r="G97" i="11"/>
  <c r="U96" i="11"/>
  <c r="G96" i="11"/>
  <c r="L96" i="11" s="1"/>
  <c r="V96" i="11" s="1"/>
  <c r="Y96" i="11" s="1"/>
  <c r="U95" i="11"/>
  <c r="L95" i="11"/>
  <c r="G95" i="11"/>
  <c r="M94" i="11"/>
  <c r="U94" i="11" s="1"/>
  <c r="G94" i="11"/>
  <c r="N94" i="11" s="1"/>
  <c r="U93" i="11"/>
  <c r="G93" i="11"/>
  <c r="L93" i="11" s="1"/>
  <c r="N92" i="11"/>
  <c r="U92" i="11" s="1"/>
  <c r="G92" i="11"/>
  <c r="L92" i="11" s="1"/>
  <c r="V92" i="11" s="1"/>
  <c r="Y92" i="11" s="1"/>
  <c r="G91" i="11"/>
  <c r="L91" i="11" s="1"/>
  <c r="H90" i="11"/>
  <c r="G90" i="11"/>
  <c r="U89" i="11"/>
  <c r="G89" i="11"/>
  <c r="L89" i="11" s="1"/>
  <c r="V89" i="11" s="1"/>
  <c r="Y89" i="11" s="1"/>
  <c r="N88" i="11"/>
  <c r="G88" i="11"/>
  <c r="L88" i="11" s="1"/>
  <c r="N87" i="11"/>
  <c r="G87" i="11"/>
  <c r="M87" i="11" s="1"/>
  <c r="U87" i="11" s="1"/>
  <c r="G86" i="11"/>
  <c r="L86" i="11" s="1"/>
  <c r="G85" i="11"/>
  <c r="N84" i="11"/>
  <c r="M84" i="11"/>
  <c r="U84" i="11" s="1"/>
  <c r="G84" i="11"/>
  <c r="L84" i="11" s="1"/>
  <c r="G83" i="11"/>
  <c r="N83" i="11" s="1"/>
  <c r="N82" i="11"/>
  <c r="M82" i="11"/>
  <c r="U82" i="11" s="1"/>
  <c r="L82" i="11"/>
  <c r="V82" i="11" s="1"/>
  <c r="Y82" i="11" s="1"/>
  <c r="G82" i="11"/>
  <c r="G81" i="11"/>
  <c r="M81" i="11" s="1"/>
  <c r="U80" i="11"/>
  <c r="H80" i="11"/>
  <c r="G80" i="11"/>
  <c r="M79" i="11"/>
  <c r="H79" i="11"/>
  <c r="G79" i="11"/>
  <c r="N79" i="11" s="1"/>
  <c r="G78" i="11"/>
  <c r="N78" i="11" s="1"/>
  <c r="G77" i="11"/>
  <c r="N77" i="11" s="1"/>
  <c r="N76" i="11"/>
  <c r="U76" i="11" s="1"/>
  <c r="M76" i="11"/>
  <c r="G76" i="11"/>
  <c r="L76" i="11" s="1"/>
  <c r="N75" i="11"/>
  <c r="M75" i="11"/>
  <c r="I75" i="11"/>
  <c r="G75" i="11"/>
  <c r="L75" i="11" s="1"/>
  <c r="G74" i="11"/>
  <c r="N73" i="11"/>
  <c r="M73" i="11"/>
  <c r="U73" i="11" s="1"/>
  <c r="I73" i="11"/>
  <c r="G73" i="11" s="1"/>
  <c r="L73" i="11" s="1"/>
  <c r="V73" i="11" s="1"/>
  <c r="Y73" i="11" s="1"/>
  <c r="N72" i="11"/>
  <c r="M72" i="11"/>
  <c r="U72" i="11" s="1"/>
  <c r="G72" i="11"/>
  <c r="L72" i="11" s="1"/>
  <c r="V72" i="11" s="1"/>
  <c r="Y72" i="11" s="1"/>
  <c r="AB71" i="11"/>
  <c r="N71" i="11"/>
  <c r="H71" i="11"/>
  <c r="G71" i="11"/>
  <c r="AB70" i="11"/>
  <c r="N70" i="11"/>
  <c r="H70" i="11"/>
  <c r="G70" i="11"/>
  <c r="U69" i="11"/>
  <c r="G69" i="11"/>
  <c r="L69" i="11" s="1"/>
  <c r="AB68" i="11"/>
  <c r="G68" i="11"/>
  <c r="N68" i="11" s="1"/>
  <c r="N67" i="11"/>
  <c r="M67" i="11"/>
  <c r="U67" i="11" s="1"/>
  <c r="L67" i="11"/>
  <c r="H66" i="11"/>
  <c r="G66" i="11"/>
  <c r="N66" i="11" s="1"/>
  <c r="N65" i="11"/>
  <c r="M65" i="11"/>
  <c r="U65" i="11" s="1"/>
  <c r="L65" i="11"/>
  <c r="V65" i="11" s="1"/>
  <c r="Y65" i="11" s="1"/>
  <c r="G65" i="11"/>
  <c r="N64" i="11"/>
  <c r="M64" i="11"/>
  <c r="U64" i="11" s="1"/>
  <c r="G64" i="11"/>
  <c r="L64" i="11" s="1"/>
  <c r="H63" i="11"/>
  <c r="H111" i="11" s="1"/>
  <c r="G63" i="11"/>
  <c r="M63" i="11" s="1"/>
  <c r="U62" i="11"/>
  <c r="G62" i="11"/>
  <c r="L62" i="11" s="1"/>
  <c r="V62" i="11" s="1"/>
  <c r="Y62" i="11" s="1"/>
  <c r="G61" i="11"/>
  <c r="L61" i="11" s="1"/>
  <c r="G60" i="11"/>
  <c r="N59" i="11"/>
  <c r="M59" i="11"/>
  <c r="G59" i="11"/>
  <c r="L59" i="11" s="1"/>
  <c r="N58" i="11"/>
  <c r="M58" i="11"/>
  <c r="I58" i="11"/>
  <c r="G58" i="11" s="1"/>
  <c r="L58" i="11" s="1"/>
  <c r="V58" i="11" s="1"/>
  <c r="Y58" i="11" s="1"/>
  <c r="H58" i="11"/>
  <c r="N57" i="11"/>
  <c r="M57" i="11"/>
  <c r="L57" i="11"/>
  <c r="G57" i="11"/>
  <c r="M56" i="11"/>
  <c r="U56" i="11" s="1"/>
  <c r="L56" i="11"/>
  <c r="V56" i="11" s="1"/>
  <c r="Y56" i="11" s="1"/>
  <c r="G56" i="11"/>
  <c r="N56" i="11" s="1"/>
  <c r="N55" i="11"/>
  <c r="M55" i="11"/>
  <c r="G55" i="11"/>
  <c r="L55" i="11" s="1"/>
  <c r="G54" i="11"/>
  <c r="U53" i="11"/>
  <c r="G53" i="11"/>
  <c r="L53" i="11" s="1"/>
  <c r="V53" i="11" s="1"/>
  <c r="Y53" i="11" s="1"/>
  <c r="N52" i="11"/>
  <c r="G52" i="11"/>
  <c r="L52" i="11" s="1"/>
  <c r="N51" i="11"/>
  <c r="M51" i="11"/>
  <c r="K51" i="11"/>
  <c r="G51" i="11"/>
  <c r="L51" i="11" s="1"/>
  <c r="N50" i="11"/>
  <c r="M50" i="11"/>
  <c r="G50" i="11"/>
  <c r="L50" i="11" s="1"/>
  <c r="N49" i="11"/>
  <c r="M49" i="11"/>
  <c r="G49" i="11"/>
  <c r="L49" i="11" s="1"/>
  <c r="U48" i="11"/>
  <c r="V48" i="11" s="1"/>
  <c r="Y48" i="11" s="1"/>
  <c r="T48" i="11"/>
  <c r="G48" i="11"/>
  <c r="L48" i="11" s="1"/>
  <c r="G47" i="11"/>
  <c r="L47" i="11" s="1"/>
  <c r="V47" i="11" s="1"/>
  <c r="Y47" i="11" s="1"/>
  <c r="U46" i="11"/>
  <c r="G46" i="11"/>
  <c r="L46" i="11" s="1"/>
  <c r="G45" i="11"/>
  <c r="G44" i="11"/>
  <c r="G43" i="11"/>
  <c r="N43" i="11" s="1"/>
  <c r="G42" i="11"/>
  <c r="N41" i="11"/>
  <c r="M41" i="11"/>
  <c r="G41" i="11"/>
  <c r="L41" i="11" s="1"/>
  <c r="N40" i="11"/>
  <c r="M40" i="11"/>
  <c r="G40" i="11"/>
  <c r="L40" i="11" s="1"/>
  <c r="U39" i="11"/>
  <c r="G39" i="11"/>
  <c r="L39" i="11" s="1"/>
  <c r="V39" i="11" s="1"/>
  <c r="Y39" i="11" s="1"/>
  <c r="G38" i="11"/>
  <c r="N37" i="11"/>
  <c r="M37" i="11"/>
  <c r="U37" i="11" s="1"/>
  <c r="L37" i="11"/>
  <c r="K37" i="11"/>
  <c r="G37" i="11" s="1"/>
  <c r="N36" i="11"/>
  <c r="M36" i="11"/>
  <c r="G36" i="11"/>
  <c r="L36" i="11" s="1"/>
  <c r="N35" i="11"/>
  <c r="G35" i="11"/>
  <c r="M35" i="11" s="1"/>
  <c r="U35" i="11" s="1"/>
  <c r="G34" i="11"/>
  <c r="N34" i="11" s="1"/>
  <c r="L33" i="11"/>
  <c r="N33" i="11" s="1"/>
  <c r="G33" i="11"/>
  <c r="N32" i="11"/>
  <c r="M32" i="11"/>
  <c r="U32" i="11" s="1"/>
  <c r="I32" i="11"/>
  <c r="G32" i="11" s="1"/>
  <c r="L32" i="11" s="1"/>
  <c r="K31" i="11"/>
  <c r="G31" i="11"/>
  <c r="N30" i="11"/>
  <c r="U30" i="11" s="1"/>
  <c r="M30" i="11"/>
  <c r="K30" i="11"/>
  <c r="G30" i="11"/>
  <c r="L30" i="11" s="1"/>
  <c r="U29" i="11"/>
  <c r="V29" i="11" s="1"/>
  <c r="Y29" i="11" s="1"/>
  <c r="G29" i="11"/>
  <c r="L29" i="11" s="1"/>
  <c r="N28" i="11"/>
  <c r="M28" i="11"/>
  <c r="G28" i="11"/>
  <c r="L28" i="11" s="1"/>
  <c r="N27" i="11"/>
  <c r="M27" i="11"/>
  <c r="U27" i="11" s="1"/>
  <c r="G27" i="11"/>
  <c r="L27" i="11" s="1"/>
  <c r="V27" i="11" s="1"/>
  <c r="Y27" i="11" s="1"/>
  <c r="G26" i="11"/>
  <c r="L26" i="11" s="1"/>
  <c r="N25" i="11"/>
  <c r="M25" i="11"/>
  <c r="G25" i="11"/>
  <c r="L25" i="11" s="1"/>
  <c r="U24" i="11"/>
  <c r="G24" i="11"/>
  <c r="L24" i="11" s="1"/>
  <c r="V24" i="11" s="1"/>
  <c r="Y24" i="11" s="1"/>
  <c r="U23" i="11"/>
  <c r="T23" i="11"/>
  <c r="G23" i="11"/>
  <c r="L23" i="11" s="1"/>
  <c r="V23" i="11" s="1"/>
  <c r="Y23" i="11" s="1"/>
  <c r="N22" i="11"/>
  <c r="U22" i="11" s="1"/>
  <c r="M22" i="11"/>
  <c r="G22" i="11"/>
  <c r="L22" i="11" s="1"/>
  <c r="G21" i="11"/>
  <c r="M21" i="11" s="1"/>
  <c r="N20" i="11"/>
  <c r="G20" i="11"/>
  <c r="M20" i="11" s="1"/>
  <c r="N19" i="11"/>
  <c r="U19" i="11" s="1"/>
  <c r="G19" i="11"/>
  <c r="L19" i="11" s="1"/>
  <c r="G18" i="11"/>
  <c r="L18" i="11" s="1"/>
  <c r="N17" i="11"/>
  <c r="M17" i="11"/>
  <c r="G17" i="11"/>
  <c r="L17" i="11" s="1"/>
  <c r="U16" i="11"/>
  <c r="G16" i="11"/>
  <c r="L16" i="11" s="1"/>
  <c r="V16" i="11" s="1"/>
  <c r="Y16" i="11" s="1"/>
  <c r="G15" i="11"/>
  <c r="U14" i="11"/>
  <c r="G14" i="11"/>
  <c r="L14" i="11" s="1"/>
  <c r="V14" i="11" s="1"/>
  <c r="Y14" i="11" s="1"/>
  <c r="G13" i="11"/>
  <c r="L13" i="11" s="1"/>
  <c r="N12" i="11"/>
  <c r="M12" i="11"/>
  <c r="K12" i="11"/>
  <c r="G12" i="11"/>
  <c r="N11" i="11"/>
  <c r="U11" i="11" s="1"/>
  <c r="M11" i="11"/>
  <c r="G11" i="11"/>
  <c r="L11" i="11" s="1"/>
  <c r="T10" i="11"/>
  <c r="T111" i="11" s="1"/>
  <c r="G10" i="11"/>
  <c r="L10" i="11" s="1"/>
  <c r="N9" i="11"/>
  <c r="M9" i="11"/>
  <c r="U9" i="11" s="1"/>
  <c r="I9" i="11"/>
  <c r="L9" i="11" s="1"/>
  <c r="G9" i="11"/>
  <c r="G8" i="11"/>
  <c r="L8" i="11" s="1"/>
  <c r="L7" i="11"/>
  <c r="G7" i="11"/>
  <c r="N6" i="11"/>
  <c r="M6" i="11"/>
  <c r="U6" i="11" s="1"/>
  <c r="G6" i="11"/>
  <c r="L6" i="11" s="1"/>
  <c r="V6" i="11" s="1"/>
  <c r="Y6" i="11" s="1"/>
  <c r="N5" i="11"/>
  <c r="M5" i="11"/>
  <c r="G5" i="11"/>
  <c r="L5" i="11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N4" i="11"/>
  <c r="M4" i="11"/>
  <c r="U4" i="11" s="1"/>
  <c r="G4" i="11"/>
  <c r="L4" i="11" s="1"/>
  <c r="C205" i="10"/>
  <c r="C185" i="10"/>
  <c r="C180" i="10"/>
  <c r="C178" i="10"/>
  <c r="L139" i="10"/>
  <c r="K139" i="10"/>
  <c r="W113" i="10"/>
  <c r="V113" i="10"/>
  <c r="R113" i="10"/>
  <c r="Q113" i="10"/>
  <c r="P113" i="10"/>
  <c r="O113" i="10"/>
  <c r="N113" i="10"/>
  <c r="I113" i="10"/>
  <c r="E113" i="10"/>
  <c r="H112" i="10"/>
  <c r="G112" i="10"/>
  <c r="M112" i="10" s="1"/>
  <c r="T111" i="10"/>
  <c r="G111" i="10"/>
  <c r="K111" i="10" s="1"/>
  <c r="U111" i="10" s="1"/>
  <c r="X111" i="10" s="1"/>
  <c r="M110" i="10"/>
  <c r="L110" i="10"/>
  <c r="H110" i="10"/>
  <c r="G110" i="10"/>
  <c r="K110" i="10" s="1"/>
  <c r="T109" i="10"/>
  <c r="K109" i="10"/>
  <c r="U109" i="10" s="1"/>
  <c r="X109" i="10" s="1"/>
  <c r="G109" i="10"/>
  <c r="T108" i="10"/>
  <c r="G108" i="10"/>
  <c r="K108" i="10" s="1"/>
  <c r="M107" i="10"/>
  <c r="L107" i="10"/>
  <c r="T107" i="10" s="1"/>
  <c r="K107" i="10"/>
  <c r="G106" i="10"/>
  <c r="M106" i="10" s="1"/>
  <c r="G105" i="10"/>
  <c r="K105" i="10" s="1"/>
  <c r="G104" i="10"/>
  <c r="K104" i="10" s="1"/>
  <c r="M103" i="10"/>
  <c r="L103" i="10"/>
  <c r="G103" i="10"/>
  <c r="K103" i="10" s="1"/>
  <c r="G102" i="10"/>
  <c r="K102" i="10" s="1"/>
  <c r="G101" i="10"/>
  <c r="L101" i="10" s="1"/>
  <c r="M100" i="10"/>
  <c r="L100" i="10"/>
  <c r="T100" i="10" s="1"/>
  <c r="G100" i="10"/>
  <c r="K100" i="10" s="1"/>
  <c r="G99" i="10"/>
  <c r="M99" i="10" s="1"/>
  <c r="T98" i="10"/>
  <c r="G98" i="10"/>
  <c r="K98" i="10" s="1"/>
  <c r="T97" i="10"/>
  <c r="G97" i="10"/>
  <c r="K97" i="10" s="1"/>
  <c r="U97" i="10" s="1"/>
  <c r="X97" i="10" s="1"/>
  <c r="G96" i="10"/>
  <c r="K96" i="10" s="1"/>
  <c r="T95" i="10"/>
  <c r="G95" i="10"/>
  <c r="K95" i="10" s="1"/>
  <c r="U95" i="10" s="1"/>
  <c r="X95" i="10" s="1"/>
  <c r="M94" i="10"/>
  <c r="T94" i="10" s="1"/>
  <c r="G94" i="10"/>
  <c r="K94" i="10" s="1"/>
  <c r="G93" i="10"/>
  <c r="M93" i="10" s="1"/>
  <c r="M92" i="10"/>
  <c r="H92" i="10"/>
  <c r="G92" i="10"/>
  <c r="L92" i="10" s="1"/>
  <c r="T91" i="10"/>
  <c r="K91" i="10"/>
  <c r="U91" i="10" s="1"/>
  <c r="X91" i="10" s="1"/>
  <c r="G91" i="10"/>
  <c r="G90" i="10"/>
  <c r="M90" i="10" s="1"/>
  <c r="G89" i="10"/>
  <c r="G88" i="10"/>
  <c r="K88" i="10" s="1"/>
  <c r="M88" i="10" s="1"/>
  <c r="M87" i="10"/>
  <c r="G87" i="10"/>
  <c r="L87" i="10" s="1"/>
  <c r="M86" i="10"/>
  <c r="L86" i="10"/>
  <c r="K86" i="10"/>
  <c r="G85" i="10"/>
  <c r="K85" i="10" s="1"/>
  <c r="M84" i="10"/>
  <c r="L84" i="10"/>
  <c r="T84" i="10" s="1"/>
  <c r="K84" i="10"/>
  <c r="U84" i="10" s="1"/>
  <c r="X84" i="10" s="1"/>
  <c r="G84" i="10"/>
  <c r="G83" i="10"/>
  <c r="M83" i="10" s="1"/>
  <c r="T82" i="10"/>
  <c r="H82" i="10"/>
  <c r="G82" i="10"/>
  <c r="M81" i="10"/>
  <c r="L81" i="10"/>
  <c r="H81" i="10"/>
  <c r="G81" i="10"/>
  <c r="G80" i="10"/>
  <c r="K80" i="10" s="1"/>
  <c r="M79" i="10"/>
  <c r="L79" i="10"/>
  <c r="T79" i="10" s="1"/>
  <c r="K79" i="10"/>
  <c r="U79" i="10" s="1"/>
  <c r="X79" i="10" s="1"/>
  <c r="G79" i="10"/>
  <c r="M78" i="10"/>
  <c r="L78" i="10"/>
  <c r="T78" i="10" s="1"/>
  <c r="G78" i="10"/>
  <c r="K78" i="10" s="1"/>
  <c r="G77" i="10"/>
  <c r="M76" i="10"/>
  <c r="G76" i="10"/>
  <c r="K76" i="10" s="1"/>
  <c r="T75" i="10"/>
  <c r="G75" i="10"/>
  <c r="K75" i="10" s="1"/>
  <c r="U75" i="10" s="1"/>
  <c r="X75" i="10" s="1"/>
  <c r="G74" i="10"/>
  <c r="K74" i="10" s="1"/>
  <c r="AA73" i="10"/>
  <c r="L73" i="10"/>
  <c r="H73" i="10"/>
  <c r="G73" i="10"/>
  <c r="K73" i="10" s="1"/>
  <c r="AA72" i="10"/>
  <c r="M72" i="10"/>
  <c r="H72" i="10"/>
  <c r="G72" i="10"/>
  <c r="L72" i="10" s="1"/>
  <c r="T71" i="10"/>
  <c r="K71" i="10"/>
  <c r="U71" i="10" s="1"/>
  <c r="X71" i="10" s="1"/>
  <c r="G71" i="10"/>
  <c r="AA70" i="10"/>
  <c r="M70" i="10"/>
  <c r="G70" i="10"/>
  <c r="L70" i="10" s="1"/>
  <c r="T70" i="10" s="1"/>
  <c r="L69" i="10"/>
  <c r="T69" i="10" s="1"/>
  <c r="U69" i="10" s="1"/>
  <c r="X69" i="10" s="1"/>
  <c r="K69" i="10"/>
  <c r="M69" i="10" s="1"/>
  <c r="H68" i="10"/>
  <c r="G68" i="10"/>
  <c r="M68" i="10" s="1"/>
  <c r="T67" i="10"/>
  <c r="G67" i="10"/>
  <c r="K67" i="10" s="1"/>
  <c r="U67" i="10" s="1"/>
  <c r="X67" i="10" s="1"/>
  <c r="M66" i="10"/>
  <c r="L66" i="10"/>
  <c r="K66" i="10"/>
  <c r="G66" i="10"/>
  <c r="T65" i="10"/>
  <c r="G65" i="10"/>
  <c r="K65" i="10" s="1"/>
  <c r="U65" i="10" s="1"/>
  <c r="X65" i="10" s="1"/>
  <c r="H64" i="10"/>
  <c r="G64" i="10"/>
  <c r="L64" i="10" s="1"/>
  <c r="T63" i="10"/>
  <c r="G63" i="10"/>
  <c r="K63" i="10" s="1"/>
  <c r="U63" i="10" s="1"/>
  <c r="X63" i="10" s="1"/>
  <c r="K62" i="10"/>
  <c r="G62" i="10"/>
  <c r="G61" i="10"/>
  <c r="L61" i="10" s="1"/>
  <c r="G60" i="10"/>
  <c r="L60" i="10" s="1"/>
  <c r="T60" i="10" s="1"/>
  <c r="M59" i="10"/>
  <c r="H59" i="10"/>
  <c r="G59" i="10"/>
  <c r="L59" i="10" s="1"/>
  <c r="G58" i="10"/>
  <c r="L58" i="10" s="1"/>
  <c r="M57" i="10"/>
  <c r="L57" i="10"/>
  <c r="T57" i="10" s="1"/>
  <c r="K57" i="10"/>
  <c r="G56" i="10"/>
  <c r="M56" i="10" s="1"/>
  <c r="M55" i="10"/>
  <c r="L55" i="10"/>
  <c r="G55" i="10"/>
  <c r="K55" i="10" s="1"/>
  <c r="G54" i="10"/>
  <c r="T53" i="10"/>
  <c r="G53" i="10"/>
  <c r="K53" i="10" s="1"/>
  <c r="U53" i="10" s="1"/>
  <c r="X53" i="10" s="1"/>
  <c r="G52" i="10"/>
  <c r="K52" i="10" s="1"/>
  <c r="M51" i="10"/>
  <c r="L51" i="10"/>
  <c r="T51" i="10" s="1"/>
  <c r="K51" i="10"/>
  <c r="U51" i="10" s="1"/>
  <c r="X51" i="10" s="1"/>
  <c r="G51" i="10"/>
  <c r="T50" i="10"/>
  <c r="G50" i="10"/>
  <c r="K50" i="10" s="1"/>
  <c r="U50" i="10" s="1"/>
  <c r="X50" i="10" s="1"/>
  <c r="M49" i="10"/>
  <c r="L49" i="10"/>
  <c r="G49" i="10"/>
  <c r="K49" i="10" s="1"/>
  <c r="T48" i="10"/>
  <c r="M48" i="10"/>
  <c r="L48" i="10"/>
  <c r="J48" i="10"/>
  <c r="K48" i="10" s="1"/>
  <c r="U48" i="10" s="1"/>
  <c r="X48" i="10" s="1"/>
  <c r="S47" i="10"/>
  <c r="T47" i="10" s="1"/>
  <c r="G47" i="10"/>
  <c r="K47" i="10" s="1"/>
  <c r="G46" i="10"/>
  <c r="K46" i="10" s="1"/>
  <c r="U46" i="10" s="1"/>
  <c r="X46" i="10" s="1"/>
  <c r="T45" i="10"/>
  <c r="G45" i="10"/>
  <c r="K45" i="10" s="1"/>
  <c r="U45" i="10" s="1"/>
  <c r="X45" i="10" s="1"/>
  <c r="G44" i="10"/>
  <c r="K44" i="10" s="1"/>
  <c r="G43" i="10"/>
  <c r="G42" i="10"/>
  <c r="L42" i="10" s="1"/>
  <c r="S41" i="10"/>
  <c r="G41" i="10"/>
  <c r="L41" i="10" s="1"/>
  <c r="M40" i="10"/>
  <c r="L40" i="10"/>
  <c r="T40" i="10" s="1"/>
  <c r="G40" i="10"/>
  <c r="K40" i="10" s="1"/>
  <c r="G39" i="10"/>
  <c r="M39" i="10" s="1"/>
  <c r="T38" i="10"/>
  <c r="G38" i="10"/>
  <c r="K38" i="10" s="1"/>
  <c r="U38" i="10" s="1"/>
  <c r="X38" i="10" s="1"/>
  <c r="M37" i="10"/>
  <c r="G37" i="10"/>
  <c r="L37" i="10" s="1"/>
  <c r="X36" i="10"/>
  <c r="T36" i="10"/>
  <c r="G36" i="10"/>
  <c r="K36" i="10" s="1"/>
  <c r="U36" i="10" s="1"/>
  <c r="M35" i="10"/>
  <c r="L35" i="10"/>
  <c r="J35" i="10"/>
  <c r="K35" i="10" s="1"/>
  <c r="G34" i="10"/>
  <c r="L34" i="10" s="1"/>
  <c r="M33" i="10"/>
  <c r="G33" i="10"/>
  <c r="L33" i="10" s="1"/>
  <c r="G32" i="10"/>
  <c r="K32" i="10" s="1"/>
  <c r="L32" i="10" s="1"/>
  <c r="G31" i="10"/>
  <c r="M31" i="10" s="1"/>
  <c r="G30" i="10"/>
  <c r="K30" i="10" s="1"/>
  <c r="L30" i="10" s="1"/>
  <c r="G29" i="10"/>
  <c r="L29" i="10" s="1"/>
  <c r="T28" i="10"/>
  <c r="G28" i="10"/>
  <c r="K28" i="10" s="1"/>
  <c r="U28" i="10" s="1"/>
  <c r="X28" i="10" s="1"/>
  <c r="M27" i="10"/>
  <c r="L27" i="10"/>
  <c r="T27" i="10" s="1"/>
  <c r="G27" i="10"/>
  <c r="K27" i="10" s="1"/>
  <c r="M26" i="10"/>
  <c r="L26" i="10"/>
  <c r="T26" i="10" s="1"/>
  <c r="K26" i="10"/>
  <c r="U26" i="10" s="1"/>
  <c r="X26" i="10" s="1"/>
  <c r="G26" i="10"/>
  <c r="M25" i="10"/>
  <c r="L25" i="10"/>
  <c r="T25" i="10" s="1"/>
  <c r="G25" i="10"/>
  <c r="K25" i="10" s="1"/>
  <c r="T24" i="10"/>
  <c r="K24" i="10"/>
  <c r="U24" i="10" s="1"/>
  <c r="X24" i="10" s="1"/>
  <c r="G24" i="10"/>
  <c r="S23" i="10"/>
  <c r="T23" i="10" s="1"/>
  <c r="G23" i="10"/>
  <c r="K23" i="10" s="1"/>
  <c r="T22" i="10"/>
  <c r="G22" i="10"/>
  <c r="K22" i="10" s="1"/>
  <c r="U22" i="10" s="1"/>
  <c r="X22" i="10" s="1"/>
  <c r="G21" i="10"/>
  <c r="L21" i="10" s="1"/>
  <c r="G20" i="10"/>
  <c r="K20" i="10" s="1"/>
  <c r="M19" i="10"/>
  <c r="T19" i="10" s="1"/>
  <c r="K19" i="10"/>
  <c r="U19" i="10" s="1"/>
  <c r="X19" i="10" s="1"/>
  <c r="G19" i="10"/>
  <c r="G18" i="10"/>
  <c r="M18" i="10" s="1"/>
  <c r="G17" i="10"/>
  <c r="M17" i="10" s="1"/>
  <c r="T16" i="10"/>
  <c r="G16" i="10"/>
  <c r="K16" i="10" s="1"/>
  <c r="U16" i="10" s="1"/>
  <c r="X16" i="10" s="1"/>
  <c r="G15" i="10"/>
  <c r="M15" i="10" s="1"/>
  <c r="T14" i="10"/>
  <c r="G14" i="10"/>
  <c r="K14" i="10" s="1"/>
  <c r="U14" i="10" s="1"/>
  <c r="X14" i="10" s="1"/>
  <c r="G13" i="10"/>
  <c r="M13" i="10" s="1"/>
  <c r="G12" i="10"/>
  <c r="L12" i="10" s="1"/>
  <c r="M11" i="10"/>
  <c r="L11" i="10"/>
  <c r="G11" i="10"/>
  <c r="K11" i="10" s="1"/>
  <c r="S10" i="10"/>
  <c r="S113" i="10" s="1"/>
  <c r="G10" i="10"/>
  <c r="K10" i="10" s="1"/>
  <c r="G9" i="10"/>
  <c r="M9" i="10" s="1"/>
  <c r="G8" i="10"/>
  <c r="K8" i="10" s="1"/>
  <c r="G7" i="10"/>
  <c r="K7" i="10" s="1"/>
  <c r="M6" i="10"/>
  <c r="L6" i="10"/>
  <c r="T6" i="10" s="1"/>
  <c r="K6" i="10"/>
  <c r="U6" i="10" s="1"/>
  <c r="X6" i="10" s="1"/>
  <c r="G6" i="10"/>
  <c r="M5" i="10"/>
  <c r="L5" i="10"/>
  <c r="T5" i="10" s="1"/>
  <c r="K5" i="10"/>
  <c r="U5" i="10" s="1"/>
  <c r="X5" i="10" s="1"/>
  <c r="G5" i="10"/>
  <c r="M4" i="10"/>
  <c r="L4" i="10"/>
  <c r="T4" i="10" s="1"/>
  <c r="J4" i="10"/>
  <c r="K4" i="10" s="1"/>
  <c r="C205" i="9"/>
  <c r="C185" i="9"/>
  <c r="C178" i="9"/>
  <c r="C180" i="9" s="1"/>
  <c r="L139" i="9"/>
  <c r="K139" i="9"/>
  <c r="W113" i="9"/>
  <c r="V113" i="9"/>
  <c r="S113" i="9"/>
  <c r="R113" i="9"/>
  <c r="Q113" i="9"/>
  <c r="P113" i="9"/>
  <c r="O113" i="9"/>
  <c r="I113" i="9"/>
  <c r="E113" i="9"/>
  <c r="H112" i="9"/>
  <c r="G112" i="9"/>
  <c r="M112" i="9" s="1"/>
  <c r="T111" i="9"/>
  <c r="K111" i="9"/>
  <c r="G111" i="9"/>
  <c r="K110" i="9"/>
  <c r="H110" i="9"/>
  <c r="G110" i="9"/>
  <c r="M110" i="9" s="1"/>
  <c r="U109" i="9"/>
  <c r="X109" i="9" s="1"/>
  <c r="T109" i="9"/>
  <c r="K109" i="9"/>
  <c r="G109" i="9"/>
  <c r="X108" i="9"/>
  <c r="T108" i="9"/>
  <c r="G108" i="9"/>
  <c r="K108" i="9" s="1"/>
  <c r="U108" i="9" s="1"/>
  <c r="M107" i="9"/>
  <c r="L107" i="9"/>
  <c r="K107" i="9"/>
  <c r="G107" i="9"/>
  <c r="L106" i="9"/>
  <c r="T106" i="9" s="1"/>
  <c r="K106" i="9"/>
  <c r="U106" i="9" s="1"/>
  <c r="X106" i="9" s="1"/>
  <c r="G106" i="9"/>
  <c r="M106" i="9" s="1"/>
  <c r="G105" i="9"/>
  <c r="K105" i="9" s="1"/>
  <c r="L105" i="9" s="1"/>
  <c r="T105" i="9" s="1"/>
  <c r="M104" i="9"/>
  <c r="L104" i="9"/>
  <c r="K104" i="9"/>
  <c r="G104" i="9"/>
  <c r="M103" i="9"/>
  <c r="L103" i="9"/>
  <c r="T103" i="9" s="1"/>
  <c r="K103" i="9"/>
  <c r="G103" i="9"/>
  <c r="K102" i="9"/>
  <c r="G102" i="9"/>
  <c r="G101" i="9"/>
  <c r="M100" i="9"/>
  <c r="L100" i="9"/>
  <c r="K100" i="9"/>
  <c r="G100" i="9"/>
  <c r="L99" i="9"/>
  <c r="T99" i="9" s="1"/>
  <c r="K99" i="9"/>
  <c r="U99" i="9" s="1"/>
  <c r="X99" i="9" s="1"/>
  <c r="G99" i="9"/>
  <c r="M99" i="9" s="1"/>
  <c r="T98" i="9"/>
  <c r="G98" i="9"/>
  <c r="K98" i="9" s="1"/>
  <c r="U98" i="9" s="1"/>
  <c r="X98" i="9" s="1"/>
  <c r="T97" i="9"/>
  <c r="G97" i="9"/>
  <c r="K97" i="9" s="1"/>
  <c r="U97" i="9" s="1"/>
  <c r="X97" i="9" s="1"/>
  <c r="N96" i="9"/>
  <c r="G96" i="9"/>
  <c r="T95" i="9"/>
  <c r="K95" i="9"/>
  <c r="U95" i="9" s="1"/>
  <c r="X95" i="9" s="1"/>
  <c r="G95" i="9"/>
  <c r="T94" i="9"/>
  <c r="M94" i="9"/>
  <c r="G94" i="9"/>
  <c r="K94" i="9" s="1"/>
  <c r="U94" i="9" s="1"/>
  <c r="X94" i="9" s="1"/>
  <c r="X93" i="9"/>
  <c r="L93" i="9"/>
  <c r="K93" i="9"/>
  <c r="U93" i="9" s="1"/>
  <c r="H93" i="9"/>
  <c r="G93" i="9"/>
  <c r="M93" i="9" s="1"/>
  <c r="T92" i="9"/>
  <c r="G92" i="9"/>
  <c r="K92" i="9" s="1"/>
  <c r="U92" i="9" s="1"/>
  <c r="X92" i="9" s="1"/>
  <c r="X91" i="9"/>
  <c r="M91" i="9"/>
  <c r="L91" i="9"/>
  <c r="T91" i="9" s="1"/>
  <c r="K91" i="9"/>
  <c r="U91" i="9" s="1"/>
  <c r="G91" i="9"/>
  <c r="K90" i="9"/>
  <c r="G90" i="9"/>
  <c r="M90" i="9" s="1"/>
  <c r="G89" i="9"/>
  <c r="K89" i="9" s="1"/>
  <c r="M88" i="9"/>
  <c r="G88" i="9"/>
  <c r="L88" i="9" s="1"/>
  <c r="T88" i="9" s="1"/>
  <c r="X87" i="9"/>
  <c r="T87" i="9"/>
  <c r="G87" i="9"/>
  <c r="K87" i="9" s="1"/>
  <c r="U87" i="9" s="1"/>
  <c r="M86" i="9"/>
  <c r="G86" i="9"/>
  <c r="L86" i="9" s="1"/>
  <c r="T86" i="9" s="1"/>
  <c r="N85" i="9"/>
  <c r="M85" i="9"/>
  <c r="G85" i="9"/>
  <c r="L85" i="9" s="1"/>
  <c r="T85" i="9" s="1"/>
  <c r="M84" i="9"/>
  <c r="L84" i="9"/>
  <c r="T84" i="9" s="1"/>
  <c r="K84" i="9"/>
  <c r="U84" i="9" s="1"/>
  <c r="X84" i="9" s="1"/>
  <c r="G84" i="9"/>
  <c r="U83" i="9"/>
  <c r="X83" i="9" s="1"/>
  <c r="N83" i="9"/>
  <c r="M83" i="9"/>
  <c r="L83" i="9"/>
  <c r="T83" i="9" s="1"/>
  <c r="K83" i="9"/>
  <c r="G83" i="9"/>
  <c r="U82" i="9"/>
  <c r="X82" i="9" s="1"/>
  <c r="T82" i="9"/>
  <c r="L82" i="9"/>
  <c r="K82" i="9"/>
  <c r="H82" i="9"/>
  <c r="G82" i="9"/>
  <c r="M82" i="9" s="1"/>
  <c r="H81" i="9"/>
  <c r="K81" i="9" s="1"/>
  <c r="U81" i="9" s="1"/>
  <c r="X81" i="9" s="1"/>
  <c r="G81" i="9"/>
  <c r="M81" i="9" s="1"/>
  <c r="G80" i="9"/>
  <c r="M79" i="9"/>
  <c r="G79" i="9"/>
  <c r="L79" i="9" s="1"/>
  <c r="T79" i="9" s="1"/>
  <c r="M78" i="9"/>
  <c r="L78" i="9"/>
  <c r="T78" i="9" s="1"/>
  <c r="K78" i="9"/>
  <c r="U78" i="9" s="1"/>
  <c r="X78" i="9" s="1"/>
  <c r="G78" i="9"/>
  <c r="L77" i="9"/>
  <c r="T77" i="9" s="1"/>
  <c r="K77" i="9"/>
  <c r="U77" i="9" s="1"/>
  <c r="X77" i="9" s="1"/>
  <c r="G77" i="9"/>
  <c r="M77" i="9" s="1"/>
  <c r="G76" i="9"/>
  <c r="T75" i="9"/>
  <c r="K75" i="9"/>
  <c r="U75" i="9" s="1"/>
  <c r="X75" i="9" s="1"/>
  <c r="G75" i="9"/>
  <c r="G74" i="9"/>
  <c r="AA73" i="9"/>
  <c r="H73" i="9"/>
  <c r="K73" i="9" s="1"/>
  <c r="G73" i="9"/>
  <c r="M73" i="9" s="1"/>
  <c r="AA72" i="9"/>
  <c r="L72" i="9"/>
  <c r="T72" i="9" s="1"/>
  <c r="K72" i="9"/>
  <c r="U72" i="9" s="1"/>
  <c r="X72" i="9" s="1"/>
  <c r="H72" i="9"/>
  <c r="G72" i="9"/>
  <c r="M72" i="9" s="1"/>
  <c r="U71" i="9"/>
  <c r="X71" i="9" s="1"/>
  <c r="T71" i="9"/>
  <c r="G71" i="9"/>
  <c r="K71" i="9" s="1"/>
  <c r="AA70" i="9"/>
  <c r="M70" i="9"/>
  <c r="G70" i="9"/>
  <c r="L70" i="9" s="1"/>
  <c r="T70" i="9" s="1"/>
  <c r="M69" i="9"/>
  <c r="L69" i="9"/>
  <c r="T69" i="9" s="1"/>
  <c r="K69" i="9"/>
  <c r="U69" i="9" s="1"/>
  <c r="X69" i="9" s="1"/>
  <c r="G69" i="9"/>
  <c r="L68" i="9"/>
  <c r="T68" i="9" s="1"/>
  <c r="K68" i="9"/>
  <c r="U68" i="9" s="1"/>
  <c r="X68" i="9" s="1"/>
  <c r="H68" i="9"/>
  <c r="G68" i="9"/>
  <c r="M68" i="9" s="1"/>
  <c r="U67" i="9"/>
  <c r="X67" i="9" s="1"/>
  <c r="T67" i="9"/>
  <c r="G67" i="9"/>
  <c r="K67" i="9" s="1"/>
  <c r="M66" i="9"/>
  <c r="L66" i="9"/>
  <c r="T66" i="9" s="1"/>
  <c r="K66" i="9"/>
  <c r="G66" i="9"/>
  <c r="U65" i="9"/>
  <c r="X65" i="9" s="1"/>
  <c r="T65" i="9"/>
  <c r="G65" i="9"/>
  <c r="K65" i="9" s="1"/>
  <c r="N64" i="9"/>
  <c r="M64" i="9"/>
  <c r="H64" i="9"/>
  <c r="G64" i="9"/>
  <c r="T63" i="9"/>
  <c r="K63" i="9"/>
  <c r="U63" i="9" s="1"/>
  <c r="X63" i="9" s="1"/>
  <c r="G63" i="9"/>
  <c r="G62" i="9"/>
  <c r="K62" i="9" s="1"/>
  <c r="L61" i="9"/>
  <c r="T61" i="9" s="1"/>
  <c r="K61" i="9"/>
  <c r="G61" i="9"/>
  <c r="H60" i="9"/>
  <c r="K60" i="9" s="1"/>
  <c r="U60" i="9" s="1"/>
  <c r="X60" i="9" s="1"/>
  <c r="G60" i="9"/>
  <c r="M60" i="9" s="1"/>
  <c r="G59" i="9"/>
  <c r="N58" i="9"/>
  <c r="G58" i="9"/>
  <c r="M57" i="9"/>
  <c r="G57" i="9"/>
  <c r="K57" i="9" s="1"/>
  <c r="M56" i="9"/>
  <c r="L56" i="9"/>
  <c r="T56" i="9" s="1"/>
  <c r="K56" i="9"/>
  <c r="G56" i="9"/>
  <c r="L55" i="9"/>
  <c r="K55" i="9"/>
  <c r="G55" i="9"/>
  <c r="M55" i="9" s="1"/>
  <c r="U54" i="9"/>
  <c r="X54" i="9" s="1"/>
  <c r="T54" i="9"/>
  <c r="K54" i="9"/>
  <c r="G54" i="9"/>
  <c r="L53" i="9"/>
  <c r="K53" i="9"/>
  <c r="G53" i="9"/>
  <c r="M53" i="9" s="1"/>
  <c r="G52" i="9"/>
  <c r="T51" i="9"/>
  <c r="K51" i="9"/>
  <c r="U51" i="9" s="1"/>
  <c r="X51" i="9" s="1"/>
  <c r="H51" i="9"/>
  <c r="T50" i="9"/>
  <c r="M50" i="9"/>
  <c r="L50" i="9"/>
  <c r="K50" i="9"/>
  <c r="U50" i="9" s="1"/>
  <c r="X50" i="9" s="1"/>
  <c r="G50" i="9"/>
  <c r="M49" i="9"/>
  <c r="G49" i="9"/>
  <c r="K49" i="9" s="1"/>
  <c r="U48" i="9"/>
  <c r="X48" i="9" s="1"/>
  <c r="S48" i="9"/>
  <c r="T48" i="9" s="1"/>
  <c r="G48" i="9"/>
  <c r="K48" i="9" s="1"/>
  <c r="U47" i="9"/>
  <c r="X47" i="9" s="1"/>
  <c r="G47" i="9"/>
  <c r="K47" i="9" s="1"/>
  <c r="T46" i="9"/>
  <c r="G46" i="9"/>
  <c r="K46" i="9" s="1"/>
  <c r="M45" i="9"/>
  <c r="L45" i="9"/>
  <c r="T45" i="9" s="1"/>
  <c r="U45" i="9" s="1"/>
  <c r="X45" i="9" s="1"/>
  <c r="K45" i="9"/>
  <c r="G45" i="9"/>
  <c r="M44" i="9"/>
  <c r="L44" i="9"/>
  <c r="T44" i="9" s="1"/>
  <c r="K44" i="9"/>
  <c r="U44" i="9" s="1"/>
  <c r="X44" i="9" s="1"/>
  <c r="Z44" i="9" s="1"/>
  <c r="G44" i="9"/>
  <c r="G43" i="9"/>
  <c r="S42" i="9"/>
  <c r="G42" i="9"/>
  <c r="M41" i="9"/>
  <c r="T41" i="9" s="1"/>
  <c r="L41" i="9"/>
  <c r="G41" i="9"/>
  <c r="K41" i="9" s="1"/>
  <c r="M40" i="9"/>
  <c r="L40" i="9"/>
  <c r="T40" i="9" s="1"/>
  <c r="G40" i="9"/>
  <c r="K40" i="9" s="1"/>
  <c r="U40" i="9" s="1"/>
  <c r="X40" i="9" s="1"/>
  <c r="U39" i="9"/>
  <c r="X39" i="9" s="1"/>
  <c r="T39" i="9"/>
  <c r="G39" i="9"/>
  <c r="K39" i="9" s="1"/>
  <c r="M38" i="9"/>
  <c r="L38" i="9"/>
  <c r="T38" i="9" s="1"/>
  <c r="G38" i="9"/>
  <c r="K38" i="9" s="1"/>
  <c r="T37" i="9"/>
  <c r="G37" i="9"/>
  <c r="K37" i="9" s="1"/>
  <c r="U37" i="9" s="1"/>
  <c r="X37" i="9" s="1"/>
  <c r="M36" i="9"/>
  <c r="L36" i="9"/>
  <c r="T36" i="9" s="1"/>
  <c r="G36" i="9"/>
  <c r="K36" i="9" s="1"/>
  <c r="U36" i="9" s="1"/>
  <c r="X36" i="9" s="1"/>
  <c r="M35" i="9"/>
  <c r="L35" i="9"/>
  <c r="T35" i="9" s="1"/>
  <c r="K35" i="9"/>
  <c r="U35" i="9" s="1"/>
  <c r="X35" i="9" s="1"/>
  <c r="G35" i="9"/>
  <c r="G34" i="9"/>
  <c r="M33" i="9"/>
  <c r="G33" i="9"/>
  <c r="K33" i="9" s="1"/>
  <c r="L32" i="9"/>
  <c r="G32" i="9"/>
  <c r="J32" i="9" s="1"/>
  <c r="L31" i="9"/>
  <c r="G31" i="9"/>
  <c r="K31" i="9" s="1"/>
  <c r="U30" i="9"/>
  <c r="X30" i="9" s="1"/>
  <c r="M30" i="9"/>
  <c r="L30" i="9"/>
  <c r="T30" i="9" s="1"/>
  <c r="K30" i="9"/>
  <c r="G30" i="9"/>
  <c r="T29" i="9"/>
  <c r="N29" i="9"/>
  <c r="G29" i="9"/>
  <c r="K29" i="9" s="1"/>
  <c r="U29" i="9" s="1"/>
  <c r="X29" i="9" s="1"/>
  <c r="M28" i="9"/>
  <c r="L28" i="9"/>
  <c r="T28" i="9" s="1"/>
  <c r="G28" i="9"/>
  <c r="K28" i="9" s="1"/>
  <c r="U27" i="9"/>
  <c r="X27" i="9" s="1"/>
  <c r="M27" i="9"/>
  <c r="L27" i="9"/>
  <c r="T27" i="9" s="1"/>
  <c r="K27" i="9"/>
  <c r="G27" i="9"/>
  <c r="T26" i="9"/>
  <c r="M26" i="9"/>
  <c r="L26" i="9"/>
  <c r="G26" i="9"/>
  <c r="K26" i="9" s="1"/>
  <c r="U26" i="9" s="1"/>
  <c r="X26" i="9" s="1"/>
  <c r="N25" i="9"/>
  <c r="G25" i="9"/>
  <c r="K25" i="9" s="1"/>
  <c r="S24" i="9"/>
  <c r="T24" i="9" s="1"/>
  <c r="U24" i="9" s="1"/>
  <c r="X24" i="9" s="1"/>
  <c r="G24" i="9"/>
  <c r="K24" i="9" s="1"/>
  <c r="T23" i="9"/>
  <c r="K23" i="9"/>
  <c r="U23" i="9" s="1"/>
  <c r="X23" i="9" s="1"/>
  <c r="G23" i="9"/>
  <c r="G22" i="9"/>
  <c r="M21" i="9"/>
  <c r="G21" i="9"/>
  <c r="L21" i="9" s="1"/>
  <c r="T21" i="9" s="1"/>
  <c r="M20" i="9"/>
  <c r="T20" i="9" s="1"/>
  <c r="K20" i="9"/>
  <c r="U20" i="9" s="1"/>
  <c r="X20" i="9" s="1"/>
  <c r="G20" i="9"/>
  <c r="G19" i="9"/>
  <c r="M18" i="9"/>
  <c r="G18" i="9"/>
  <c r="M17" i="9"/>
  <c r="L17" i="9"/>
  <c r="T17" i="9" s="1"/>
  <c r="G17" i="9"/>
  <c r="K17" i="9" s="1"/>
  <c r="U16" i="9"/>
  <c r="X16" i="9" s="1"/>
  <c r="T16" i="9"/>
  <c r="G16" i="9"/>
  <c r="K16" i="9" s="1"/>
  <c r="M15" i="9"/>
  <c r="L15" i="9"/>
  <c r="T15" i="9" s="1"/>
  <c r="G15" i="9"/>
  <c r="K15" i="9" s="1"/>
  <c r="U14" i="9"/>
  <c r="X14" i="9" s="1"/>
  <c r="T14" i="9"/>
  <c r="G14" i="9"/>
  <c r="K14" i="9" s="1"/>
  <c r="M13" i="9"/>
  <c r="L13" i="9"/>
  <c r="T13" i="9" s="1"/>
  <c r="G13" i="9"/>
  <c r="K13" i="9" s="1"/>
  <c r="U12" i="9"/>
  <c r="X12" i="9" s="1"/>
  <c r="M12" i="9"/>
  <c r="L12" i="9"/>
  <c r="T12" i="9" s="1"/>
  <c r="K12" i="9"/>
  <c r="G12" i="9"/>
  <c r="T11" i="9"/>
  <c r="M11" i="9"/>
  <c r="L11" i="9"/>
  <c r="K11" i="9"/>
  <c r="U11" i="9" s="1"/>
  <c r="X11" i="9" s="1"/>
  <c r="G11" i="9"/>
  <c r="S10" i="9"/>
  <c r="K10" i="9"/>
  <c r="G10" i="9"/>
  <c r="G9" i="9"/>
  <c r="G8" i="9"/>
  <c r="K8" i="9" s="1"/>
  <c r="K7" i="9"/>
  <c r="M7" i="9" s="1"/>
  <c r="G7" i="9"/>
  <c r="T6" i="9"/>
  <c r="M6" i="9"/>
  <c r="L6" i="9"/>
  <c r="G6" i="9"/>
  <c r="K6" i="9" s="1"/>
  <c r="U6" i="9" s="1"/>
  <c r="X6" i="9" s="1"/>
  <c r="M5" i="9"/>
  <c r="T5" i="9" s="1"/>
  <c r="L5" i="9"/>
  <c r="G5" i="9"/>
  <c r="K5" i="9" s="1"/>
  <c r="G4" i="9"/>
  <c r="M62" i="12" l="1"/>
  <c r="N62" i="12"/>
  <c r="V30" i="12"/>
  <c r="Y30" i="12" s="1"/>
  <c r="M7" i="12"/>
  <c r="U7" i="12" s="1"/>
  <c r="N7" i="12"/>
  <c r="V102" i="12"/>
  <c r="Y102" i="12" s="1"/>
  <c r="U89" i="12"/>
  <c r="V99" i="12"/>
  <c r="Y99" i="12" s="1"/>
  <c r="V6" i="12"/>
  <c r="Y6" i="12" s="1"/>
  <c r="T112" i="12"/>
  <c r="T116" i="12" s="1"/>
  <c r="T117" i="12" s="1"/>
  <c r="U18" i="12"/>
  <c r="V18" i="12" s="1"/>
  <c r="Y18" i="12" s="1"/>
  <c r="L21" i="12"/>
  <c r="U25" i="12"/>
  <c r="U28" i="12"/>
  <c r="V32" i="12"/>
  <c r="Y32" i="12" s="1"/>
  <c r="V36" i="12"/>
  <c r="Y36" i="12" s="1"/>
  <c r="V42" i="12"/>
  <c r="Y42" i="12" s="1"/>
  <c r="U46" i="12"/>
  <c r="M61" i="12"/>
  <c r="M64" i="12"/>
  <c r="U64" i="12" s="1"/>
  <c r="N73" i="12"/>
  <c r="U73" i="12" s="1"/>
  <c r="V73" i="12" s="1"/>
  <c r="Y73" i="12" s="1"/>
  <c r="U82" i="12"/>
  <c r="V82" i="12" s="1"/>
  <c r="Y82" i="12" s="1"/>
  <c r="V84" i="12"/>
  <c r="Y84" i="12" s="1"/>
  <c r="L94" i="12"/>
  <c r="V94" i="12" s="1"/>
  <c r="Y94" i="12" s="1"/>
  <c r="K100" i="12"/>
  <c r="L100" i="12" s="1"/>
  <c r="M100" i="12"/>
  <c r="U100" i="12" s="1"/>
  <c r="V100" i="12" s="1"/>
  <c r="Y100" i="12" s="1"/>
  <c r="M105" i="12"/>
  <c r="V19" i="12"/>
  <c r="Y19" i="12" s="1"/>
  <c r="N21" i="12"/>
  <c r="U21" i="12" s="1"/>
  <c r="U35" i="12"/>
  <c r="V52" i="12"/>
  <c r="Y52" i="12" s="1"/>
  <c r="U5" i="12"/>
  <c r="U11" i="12"/>
  <c r="U15" i="12"/>
  <c r="U17" i="12"/>
  <c r="U30" i="12"/>
  <c r="L35" i="12"/>
  <c r="V35" i="12" s="1"/>
  <c r="Y35" i="12" s="1"/>
  <c r="U37" i="12"/>
  <c r="V49" i="12"/>
  <c r="Y49" i="12" s="1"/>
  <c r="U51" i="12"/>
  <c r="U58" i="12"/>
  <c r="V58" i="12" s="1"/>
  <c r="Y58" i="12" s="1"/>
  <c r="U60" i="12"/>
  <c r="V60" i="12" s="1"/>
  <c r="Y60" i="12" s="1"/>
  <c r="V66" i="12"/>
  <c r="Y66" i="12" s="1"/>
  <c r="V74" i="12"/>
  <c r="Y74" i="12" s="1"/>
  <c r="K78" i="12"/>
  <c r="L78" i="12" s="1"/>
  <c r="M79" i="12"/>
  <c r="K86" i="12"/>
  <c r="L86" i="12" s="1"/>
  <c r="V86" i="12" s="1"/>
  <c r="Y86" i="12" s="1"/>
  <c r="K89" i="12"/>
  <c r="L89" i="12" s="1"/>
  <c r="V89" i="12" s="1"/>
  <c r="Y89" i="12" s="1"/>
  <c r="M92" i="12"/>
  <c r="U92" i="12" s="1"/>
  <c r="V92" i="12" s="1"/>
  <c r="Y92" i="12" s="1"/>
  <c r="V108" i="12"/>
  <c r="Y108" i="12" s="1"/>
  <c r="V76" i="11"/>
  <c r="Y76" i="11" s="1"/>
  <c r="U81" i="11"/>
  <c r="V36" i="11"/>
  <c r="Y36" i="11" s="1"/>
  <c r="V67" i="11"/>
  <c r="Y67" i="11" s="1"/>
  <c r="L34" i="11"/>
  <c r="L63" i="11"/>
  <c r="V63" i="11" s="1"/>
  <c r="Y63" i="11" s="1"/>
  <c r="M68" i="11"/>
  <c r="U68" i="11" s="1"/>
  <c r="N81" i="11"/>
  <c r="V4" i="11"/>
  <c r="V11" i="11"/>
  <c r="Y11" i="11" s="1"/>
  <c r="K111" i="11"/>
  <c r="M13" i="11"/>
  <c r="M18" i="11"/>
  <c r="U20" i="11"/>
  <c r="V22" i="11"/>
  <c r="Y22" i="11" s="1"/>
  <c r="M26" i="11"/>
  <c r="M34" i="11"/>
  <c r="U34" i="11" s="1"/>
  <c r="L35" i="11"/>
  <c r="V35" i="11" s="1"/>
  <c r="Y35" i="11" s="1"/>
  <c r="U41" i="11"/>
  <c r="V41" i="11" s="1"/>
  <c r="Y41" i="11" s="1"/>
  <c r="L43" i="11"/>
  <c r="V46" i="11"/>
  <c r="Y46" i="11" s="1"/>
  <c r="U49" i="11"/>
  <c r="U55" i="11"/>
  <c r="V55" i="11" s="1"/>
  <c r="Y55" i="11" s="1"/>
  <c r="N63" i="11"/>
  <c r="L66" i="11"/>
  <c r="M78" i="11"/>
  <c r="U78" i="11" s="1"/>
  <c r="M83" i="11"/>
  <c r="U83" i="11" s="1"/>
  <c r="L87" i="11"/>
  <c r="V87" i="11" s="1"/>
  <c r="Y87" i="11" s="1"/>
  <c r="M91" i="11"/>
  <c r="V93" i="11"/>
  <c r="Y93" i="11" s="1"/>
  <c r="L99" i="11"/>
  <c r="V99" i="11" s="1"/>
  <c r="Y99" i="11" s="1"/>
  <c r="N21" i="11"/>
  <c r="U21" i="11" s="1"/>
  <c r="L78" i="11"/>
  <c r="V78" i="11" s="1"/>
  <c r="Y78" i="11" s="1"/>
  <c r="L83" i="11"/>
  <c r="U5" i="11"/>
  <c r="V5" i="11" s="1"/>
  <c r="Y5" i="11" s="1"/>
  <c r="U12" i="11"/>
  <c r="N13" i="11"/>
  <c r="U17" i="11"/>
  <c r="V17" i="11" s="1"/>
  <c r="Y17" i="11" s="1"/>
  <c r="N18" i="11"/>
  <c r="U25" i="11"/>
  <c r="N26" i="11"/>
  <c r="V32" i="11"/>
  <c r="Y32" i="11" s="1"/>
  <c r="U36" i="11"/>
  <c r="V37" i="11"/>
  <c r="Y37" i="11" s="1"/>
  <c r="M43" i="11"/>
  <c r="U43" i="11" s="1"/>
  <c r="U51" i="11"/>
  <c r="V51" i="11" s="1"/>
  <c r="Y51" i="11" s="1"/>
  <c r="U63" i="11"/>
  <c r="M66" i="11"/>
  <c r="U66" i="11" s="1"/>
  <c r="V69" i="11"/>
  <c r="Y69" i="11" s="1"/>
  <c r="U75" i="11"/>
  <c r="M77" i="11"/>
  <c r="U77" i="11" s="1"/>
  <c r="L79" i="11"/>
  <c r="V79" i="11" s="1"/>
  <c r="Y79" i="11" s="1"/>
  <c r="N91" i="11"/>
  <c r="V95" i="11"/>
  <c r="Y95" i="11" s="1"/>
  <c r="V107" i="11"/>
  <c r="Y107" i="11" s="1"/>
  <c r="L110" i="11"/>
  <c r="M10" i="10"/>
  <c r="L10" i="10"/>
  <c r="T10" i="10" s="1"/>
  <c r="U10" i="10" s="1"/>
  <c r="X10" i="10" s="1"/>
  <c r="U66" i="10"/>
  <c r="X66" i="10" s="1"/>
  <c r="U23" i="10"/>
  <c r="X23" i="10" s="1"/>
  <c r="U78" i="10"/>
  <c r="X78" i="10" s="1"/>
  <c r="U94" i="10"/>
  <c r="X94" i="10" s="1"/>
  <c r="T42" i="10"/>
  <c r="K18" i="10"/>
  <c r="K41" i="10"/>
  <c r="T55" i="10"/>
  <c r="M58" i="10"/>
  <c r="T58" i="10" s="1"/>
  <c r="K99" i="10"/>
  <c r="K106" i="10"/>
  <c r="K9" i="10"/>
  <c r="M12" i="10"/>
  <c r="T12" i="10" s="1"/>
  <c r="L18" i="10"/>
  <c r="T33" i="10"/>
  <c r="K37" i="10"/>
  <c r="L39" i="10"/>
  <c r="M41" i="10"/>
  <c r="M42" i="10"/>
  <c r="K60" i="10"/>
  <c r="U60" i="10" s="1"/>
  <c r="X60" i="10" s="1"/>
  <c r="M61" i="10"/>
  <c r="T61" i="10" s="1"/>
  <c r="T66" i="10"/>
  <c r="K70" i="10"/>
  <c r="U70" i="10" s="1"/>
  <c r="X70" i="10" s="1"/>
  <c r="T72" i="10"/>
  <c r="L83" i="10"/>
  <c r="T83" i="10" s="1"/>
  <c r="K87" i="10"/>
  <c r="L88" i="10"/>
  <c r="T88" i="10" s="1"/>
  <c r="K90" i="10"/>
  <c r="T92" i="10"/>
  <c r="L99" i="10"/>
  <c r="M104" i="10"/>
  <c r="L106" i="10"/>
  <c r="T106" i="10" s="1"/>
  <c r="U106" i="10" s="1"/>
  <c r="X106" i="10" s="1"/>
  <c r="K112" i="10"/>
  <c r="T41" i="10"/>
  <c r="U107" i="10"/>
  <c r="X107" i="10" s="1"/>
  <c r="K39" i="10"/>
  <c r="K42" i="10"/>
  <c r="M44" i="10"/>
  <c r="M52" i="10"/>
  <c r="M80" i="10"/>
  <c r="M85" i="10"/>
  <c r="M101" i="10"/>
  <c r="L104" i="10"/>
  <c r="T104" i="10" s="1"/>
  <c r="U104" i="10" s="1"/>
  <c r="X104" i="10" s="1"/>
  <c r="L9" i="10"/>
  <c r="T9" i="10" s="1"/>
  <c r="T11" i="10"/>
  <c r="K33" i="10"/>
  <c r="U47" i="10"/>
  <c r="X47" i="10" s="1"/>
  <c r="T49" i="10"/>
  <c r="U49" i="10" s="1"/>
  <c r="X49" i="10" s="1"/>
  <c r="K56" i="10"/>
  <c r="M64" i="10"/>
  <c r="K72" i="10"/>
  <c r="U72" i="10" s="1"/>
  <c r="X72" i="10" s="1"/>
  <c r="L74" i="10"/>
  <c r="L76" i="10"/>
  <c r="T76" i="10" s="1"/>
  <c r="T86" i="10"/>
  <c r="K92" i="10"/>
  <c r="K93" i="10"/>
  <c r="L96" i="10"/>
  <c r="U98" i="10"/>
  <c r="X98" i="10" s="1"/>
  <c r="L112" i="10"/>
  <c r="V5" i="12"/>
  <c r="Y5" i="12" s="1"/>
  <c r="V11" i="12"/>
  <c r="Y11" i="12" s="1"/>
  <c r="V12" i="12"/>
  <c r="Y12" i="12" s="1"/>
  <c r="V17" i="12"/>
  <c r="Y17" i="12" s="1"/>
  <c r="M27" i="12"/>
  <c r="U27" i="12" s="1"/>
  <c r="V27" i="12" s="1"/>
  <c r="Y27" i="12" s="1"/>
  <c r="N27" i="12"/>
  <c r="V33" i="12"/>
  <c r="Y33" i="12" s="1"/>
  <c r="V37" i="12"/>
  <c r="Y37" i="12" s="1"/>
  <c r="V41" i="12"/>
  <c r="Y41" i="12" s="1"/>
  <c r="V43" i="12"/>
  <c r="Y43" i="12" s="1"/>
  <c r="V46" i="12"/>
  <c r="Y46" i="12" s="1"/>
  <c r="G112" i="12"/>
  <c r="L4" i="12"/>
  <c r="L15" i="12"/>
  <c r="V15" i="12" s="1"/>
  <c r="Y15" i="12" s="1"/>
  <c r="M34" i="12"/>
  <c r="N34" i="12"/>
  <c r="N8" i="12"/>
  <c r="M8" i="12"/>
  <c r="V28" i="12"/>
  <c r="Y28" i="12" s="1"/>
  <c r="N10" i="12"/>
  <c r="M10" i="12"/>
  <c r="V25" i="12"/>
  <c r="Y25" i="12" s="1"/>
  <c r="V26" i="12"/>
  <c r="Y26" i="12" s="1"/>
  <c r="M31" i="12"/>
  <c r="N31" i="12"/>
  <c r="V51" i="12"/>
  <c r="Y51" i="12" s="1"/>
  <c r="N63" i="12"/>
  <c r="U63" i="12" s="1"/>
  <c r="L63" i="12"/>
  <c r="N87" i="12"/>
  <c r="L13" i="12"/>
  <c r="L22" i="12"/>
  <c r="N38" i="12"/>
  <c r="U38" i="12" s="1"/>
  <c r="V38" i="12" s="1"/>
  <c r="Y38" i="12" s="1"/>
  <c r="N40" i="12"/>
  <c r="U40" i="12" s="1"/>
  <c r="V40" i="12" s="1"/>
  <c r="Y40" i="12" s="1"/>
  <c r="N44" i="12"/>
  <c r="U44" i="12" s="1"/>
  <c r="V44" i="12" s="1"/>
  <c r="Y44" i="12" s="1"/>
  <c r="AA44" i="12" s="1"/>
  <c r="N45" i="12"/>
  <c r="U45" i="12" s="1"/>
  <c r="V45" i="12" s="1"/>
  <c r="Y45" i="12" s="1"/>
  <c r="U50" i="12"/>
  <c r="V50" i="12" s="1"/>
  <c r="Y50" i="12" s="1"/>
  <c r="L55" i="12"/>
  <c r="N55" i="12"/>
  <c r="U55" i="12" s="1"/>
  <c r="M57" i="12"/>
  <c r="U57" i="12" s="1"/>
  <c r="K57" i="12"/>
  <c r="L57" i="12" s="1"/>
  <c r="M87" i="12"/>
  <c r="U87" i="12" s="1"/>
  <c r="V87" i="12" s="1"/>
  <c r="Y87" i="12" s="1"/>
  <c r="N101" i="12"/>
  <c r="M101" i="12"/>
  <c r="V103" i="12"/>
  <c r="Y103" i="12" s="1"/>
  <c r="K81" i="12"/>
  <c r="L81" i="12" s="1"/>
  <c r="V81" i="12" s="1"/>
  <c r="Y81" i="12" s="1"/>
  <c r="N81" i="12"/>
  <c r="V7" i="12"/>
  <c r="Y7" i="12" s="1"/>
  <c r="M13" i="12"/>
  <c r="U13" i="12" s="1"/>
  <c r="M22" i="12"/>
  <c r="U22" i="12" s="1"/>
  <c r="V68" i="12"/>
  <c r="Y68" i="12" s="1"/>
  <c r="U78" i="12"/>
  <c r="U79" i="12"/>
  <c r="V79" i="12" s="1"/>
  <c r="Y79" i="12" s="1"/>
  <c r="M81" i="12"/>
  <c r="N109" i="12"/>
  <c r="M109" i="12"/>
  <c r="L109" i="12"/>
  <c r="V53" i="12"/>
  <c r="Y53" i="12" s="1"/>
  <c r="U56" i="12"/>
  <c r="V56" i="12" s="1"/>
  <c r="Y56" i="12" s="1"/>
  <c r="V69" i="12"/>
  <c r="Y69" i="12" s="1"/>
  <c r="V75" i="12"/>
  <c r="Y75" i="12" s="1"/>
  <c r="V76" i="12"/>
  <c r="Y76" i="12" s="1"/>
  <c r="V83" i="12"/>
  <c r="Y83" i="12" s="1"/>
  <c r="V85" i="12"/>
  <c r="Y85" i="12" s="1"/>
  <c r="V91" i="12"/>
  <c r="Y91" i="12" s="1"/>
  <c r="U95" i="12"/>
  <c r="V95" i="12" s="1"/>
  <c r="Y95" i="12" s="1"/>
  <c r="V98" i="12"/>
  <c r="Y98" i="12" s="1"/>
  <c r="V104" i="12"/>
  <c r="Y104" i="12" s="1"/>
  <c r="M111" i="12"/>
  <c r="U111" i="12" s="1"/>
  <c r="L111" i="12"/>
  <c r="N61" i="12"/>
  <c r="U61" i="12" s="1"/>
  <c r="V61" i="12" s="1"/>
  <c r="Y61" i="12" s="1"/>
  <c r="L64" i="12"/>
  <c r="V64" i="12" s="1"/>
  <c r="Y64" i="12" s="1"/>
  <c r="N71" i="12"/>
  <c r="U71" i="12" s="1"/>
  <c r="V71" i="12" s="1"/>
  <c r="Y71" i="12" s="1"/>
  <c r="M72" i="12"/>
  <c r="U72" i="12" s="1"/>
  <c r="V72" i="12" s="1"/>
  <c r="Y72" i="12" s="1"/>
  <c r="N105" i="12"/>
  <c r="U105" i="12" s="1"/>
  <c r="V105" i="12" s="1"/>
  <c r="Y105" i="12" s="1"/>
  <c r="M67" i="12"/>
  <c r="U67" i="12" s="1"/>
  <c r="V67" i="12" s="1"/>
  <c r="Y67" i="12" s="1"/>
  <c r="Y4" i="11"/>
  <c r="V9" i="11"/>
  <c r="Y9" i="11" s="1"/>
  <c r="N10" i="11"/>
  <c r="M10" i="11"/>
  <c r="M8" i="11"/>
  <c r="N8" i="11"/>
  <c r="N61" i="11"/>
  <c r="M61" i="11"/>
  <c r="U61" i="11" s="1"/>
  <c r="V61" i="11"/>
  <c r="Y61" i="11" s="1"/>
  <c r="M7" i="11"/>
  <c r="N7" i="11"/>
  <c r="N15" i="11"/>
  <c r="M15" i="11"/>
  <c r="L15" i="11"/>
  <c r="L74" i="11"/>
  <c r="N74" i="11"/>
  <c r="M74" i="11"/>
  <c r="N102" i="11"/>
  <c r="M102" i="11"/>
  <c r="L102" i="11"/>
  <c r="V19" i="11"/>
  <c r="Y19" i="11" s="1"/>
  <c r="M60" i="11"/>
  <c r="N60" i="11"/>
  <c r="L21" i="11"/>
  <c r="L108" i="11"/>
  <c r="N108" i="11"/>
  <c r="M108" i="11"/>
  <c r="L31" i="11"/>
  <c r="N38" i="11"/>
  <c r="M38" i="11"/>
  <c r="U38" i="11" s="1"/>
  <c r="M45" i="11"/>
  <c r="N45" i="11"/>
  <c r="L54" i="11"/>
  <c r="N54" i="11"/>
  <c r="M90" i="11"/>
  <c r="L90" i="11"/>
  <c r="M103" i="11"/>
  <c r="U103" i="11" s="1"/>
  <c r="V103" i="11" s="1"/>
  <c r="Y103" i="11" s="1"/>
  <c r="V105" i="11"/>
  <c r="Y105" i="11" s="1"/>
  <c r="L20" i="11"/>
  <c r="V30" i="11"/>
  <c r="Y30" i="11" s="1"/>
  <c r="M33" i="11"/>
  <c r="U33" i="11" s="1"/>
  <c r="V33" i="11" s="1"/>
  <c r="Y33" i="11" s="1"/>
  <c r="L38" i="11"/>
  <c r="N44" i="11"/>
  <c r="M44" i="11"/>
  <c r="L44" i="11"/>
  <c r="L45" i="11"/>
  <c r="M54" i="11"/>
  <c r="L60" i="11"/>
  <c r="L70" i="11"/>
  <c r="M70" i="11"/>
  <c r="U70" i="11" s="1"/>
  <c r="L80" i="11"/>
  <c r="V80" i="11" s="1"/>
  <c r="Y80" i="11" s="1"/>
  <c r="N80" i="11"/>
  <c r="M80" i="11"/>
  <c r="N86" i="11"/>
  <c r="V98" i="11"/>
  <c r="Y98" i="11" s="1"/>
  <c r="M104" i="11"/>
  <c r="N104" i="11"/>
  <c r="G111" i="11"/>
  <c r="L12" i="11"/>
  <c r="V12" i="11" s="1"/>
  <c r="Y12" i="11" s="1"/>
  <c r="V25" i="11"/>
  <c r="Y25" i="11" s="1"/>
  <c r="U28" i="11"/>
  <c r="V28" i="11" s="1"/>
  <c r="Y28" i="11" s="1"/>
  <c r="U40" i="11"/>
  <c r="V40" i="11" s="1"/>
  <c r="Y40" i="11" s="1"/>
  <c r="N42" i="11"/>
  <c r="M42" i="11"/>
  <c r="L42" i="11"/>
  <c r="V43" i="11"/>
  <c r="Y43" i="11" s="1"/>
  <c r="V49" i="11"/>
  <c r="Y49" i="11" s="1"/>
  <c r="U59" i="11"/>
  <c r="V64" i="11"/>
  <c r="Y64" i="11" s="1"/>
  <c r="V66" i="11"/>
  <c r="Y66" i="11" s="1"/>
  <c r="M71" i="11"/>
  <c r="U71" i="11" s="1"/>
  <c r="L71" i="11"/>
  <c r="V84" i="11"/>
  <c r="Y84" i="11" s="1"/>
  <c r="M85" i="11"/>
  <c r="N85" i="11"/>
  <c r="L85" i="11"/>
  <c r="M86" i="11"/>
  <c r="N90" i="11"/>
  <c r="M97" i="11"/>
  <c r="U97" i="11" s="1"/>
  <c r="V97" i="11" s="1"/>
  <c r="Y97" i="11" s="1"/>
  <c r="N97" i="11"/>
  <c r="L104" i="11"/>
  <c r="V75" i="11"/>
  <c r="Y75" i="11" s="1"/>
  <c r="U110" i="11"/>
  <c r="V110" i="11" s="1"/>
  <c r="Y110" i="11" s="1"/>
  <c r="U50" i="11"/>
  <c r="V50" i="11" s="1"/>
  <c r="Y50" i="11" s="1"/>
  <c r="M52" i="11"/>
  <c r="U52" i="11" s="1"/>
  <c r="V52" i="11" s="1"/>
  <c r="Y52" i="11" s="1"/>
  <c r="U57" i="11"/>
  <c r="V57" i="11" s="1"/>
  <c r="Y57" i="11" s="1"/>
  <c r="V59" i="11"/>
  <c r="Y59" i="11" s="1"/>
  <c r="L68" i="11"/>
  <c r="L77" i="11"/>
  <c r="V77" i="11" s="1"/>
  <c r="Y77" i="11" s="1"/>
  <c r="L81" i="11"/>
  <c r="V81" i="11" s="1"/>
  <c r="Y81" i="11" s="1"/>
  <c r="M88" i="11"/>
  <c r="U88" i="11" s="1"/>
  <c r="V88" i="11" s="1"/>
  <c r="Y88" i="11" s="1"/>
  <c r="L94" i="11"/>
  <c r="V94" i="11" s="1"/>
  <c r="Y94" i="11" s="1"/>
  <c r="M100" i="11"/>
  <c r="U100" i="11" s="1"/>
  <c r="V100" i="11" s="1"/>
  <c r="Y100" i="11" s="1"/>
  <c r="M8" i="10"/>
  <c r="L8" i="10"/>
  <c r="T8" i="10" s="1"/>
  <c r="U8" i="10" s="1"/>
  <c r="X8" i="10" s="1"/>
  <c r="U18" i="10"/>
  <c r="X18" i="10" s="1"/>
  <c r="U9" i="10"/>
  <c r="X9" i="10" s="1"/>
  <c r="U11" i="10"/>
  <c r="X11" i="10" s="1"/>
  <c r="T18" i="10"/>
  <c r="U4" i="10"/>
  <c r="L7" i="10"/>
  <c r="T7" i="10" s="1"/>
  <c r="U7" i="10" s="1"/>
  <c r="X7" i="10" s="1"/>
  <c r="M7" i="10"/>
  <c r="K43" i="10"/>
  <c r="M43" i="10"/>
  <c r="M62" i="10"/>
  <c r="L62" i="10"/>
  <c r="T62" i="10" s="1"/>
  <c r="U62" i="10" s="1"/>
  <c r="X62" i="10" s="1"/>
  <c r="K13" i="10"/>
  <c r="K15" i="10"/>
  <c r="K17" i="10"/>
  <c r="L20" i="10"/>
  <c r="U25" i="10"/>
  <c r="X25" i="10" s="1"/>
  <c r="U40" i="10"/>
  <c r="X40" i="10" s="1"/>
  <c r="L43" i="10"/>
  <c r="U55" i="10"/>
  <c r="X55" i="10" s="1"/>
  <c r="U56" i="10"/>
  <c r="X56" i="10" s="1"/>
  <c r="L89" i="10"/>
  <c r="M89" i="10"/>
  <c r="K89" i="10"/>
  <c r="M32" i="10"/>
  <c r="T32" i="10" s="1"/>
  <c r="U32" i="10" s="1"/>
  <c r="X32" i="10" s="1"/>
  <c r="K12" i="10"/>
  <c r="L13" i="10"/>
  <c r="T13" i="10" s="1"/>
  <c r="L15" i="10"/>
  <c r="T15" i="10" s="1"/>
  <c r="L17" i="10"/>
  <c r="T17" i="10" s="1"/>
  <c r="M20" i="10"/>
  <c r="K21" i="10"/>
  <c r="M30" i="10"/>
  <c r="T30" i="10" s="1"/>
  <c r="U30" i="10" s="1"/>
  <c r="X30" i="10" s="1"/>
  <c r="T35" i="10"/>
  <c r="U35" i="10" s="1"/>
  <c r="X35" i="10" s="1"/>
  <c r="T37" i="10"/>
  <c r="U37" i="10" s="1"/>
  <c r="X37" i="10" s="1"/>
  <c r="T39" i="10"/>
  <c r="U39" i="10" s="1"/>
  <c r="X39" i="10" s="1"/>
  <c r="K54" i="10"/>
  <c r="M54" i="10"/>
  <c r="L54" i="10"/>
  <c r="H113" i="10"/>
  <c r="T64" i="10"/>
  <c r="L82" i="10"/>
  <c r="M82" i="10"/>
  <c r="K82" i="10"/>
  <c r="U82" i="10" s="1"/>
  <c r="X82" i="10" s="1"/>
  <c r="U86" i="10"/>
  <c r="X86" i="10" s="1"/>
  <c r="M102" i="10"/>
  <c r="L102" i="10"/>
  <c r="T102" i="10" s="1"/>
  <c r="U102" i="10" s="1"/>
  <c r="X102" i="10" s="1"/>
  <c r="K29" i="10"/>
  <c r="M29" i="10"/>
  <c r="T29" i="10" s="1"/>
  <c r="L31" i="10"/>
  <c r="T31" i="10" s="1"/>
  <c r="J31" i="10"/>
  <c r="K31" i="10" s="1"/>
  <c r="U31" i="10" s="1"/>
  <c r="X31" i="10" s="1"/>
  <c r="K34" i="10"/>
  <c r="M34" i="10"/>
  <c r="T34" i="10" s="1"/>
  <c r="L77" i="10"/>
  <c r="M77" i="10"/>
  <c r="K77" i="10"/>
  <c r="G113" i="10"/>
  <c r="M21" i="10"/>
  <c r="T21" i="10" s="1"/>
  <c r="U27" i="10"/>
  <c r="X27" i="10" s="1"/>
  <c r="U41" i="10"/>
  <c r="X41" i="10" s="1"/>
  <c r="U87" i="10"/>
  <c r="X87" i="10" s="1"/>
  <c r="T101" i="10"/>
  <c r="L105" i="10"/>
  <c r="T105" i="10" s="1"/>
  <c r="U105" i="10"/>
  <c r="X105" i="10" s="1"/>
  <c r="L56" i="10"/>
  <c r="T56" i="10" s="1"/>
  <c r="U57" i="10"/>
  <c r="X57" i="10" s="1"/>
  <c r="K59" i="10"/>
  <c r="U59" i="10" s="1"/>
  <c r="X59" i="10" s="1"/>
  <c r="K68" i="10"/>
  <c r="M73" i="10"/>
  <c r="T73" i="10" s="1"/>
  <c r="U73" i="10" s="1"/>
  <c r="X73" i="10" s="1"/>
  <c r="T99" i="10"/>
  <c r="U99" i="10" s="1"/>
  <c r="X99" i="10" s="1"/>
  <c r="U100" i="10"/>
  <c r="X100" i="10" s="1"/>
  <c r="U108" i="10"/>
  <c r="X108" i="10" s="1"/>
  <c r="T110" i="10"/>
  <c r="U52" i="10"/>
  <c r="X52" i="10" s="1"/>
  <c r="L44" i="10"/>
  <c r="T44" i="10" s="1"/>
  <c r="U44" i="10" s="1"/>
  <c r="X44" i="10" s="1"/>
  <c r="L52" i="10"/>
  <c r="T52" i="10" s="1"/>
  <c r="K58" i="10"/>
  <c r="K61" i="10"/>
  <c r="K64" i="10"/>
  <c r="L68" i="10"/>
  <c r="T68" i="10" s="1"/>
  <c r="M74" i="10"/>
  <c r="T74" i="10" s="1"/>
  <c r="U74" i="10" s="1"/>
  <c r="X74" i="10" s="1"/>
  <c r="U76" i="10"/>
  <c r="X76" i="10" s="1"/>
  <c r="L80" i="10"/>
  <c r="K81" i="10"/>
  <c r="U81" i="10" s="1"/>
  <c r="X81" i="10" s="1"/>
  <c r="K83" i="10"/>
  <c r="U83" i="10" s="1"/>
  <c r="X83" i="10" s="1"/>
  <c r="L85" i="10"/>
  <c r="T85" i="10" s="1"/>
  <c r="U85" i="10" s="1"/>
  <c r="X85" i="10" s="1"/>
  <c r="T87" i="10"/>
  <c r="U88" i="10"/>
  <c r="X88" i="10" s="1"/>
  <c r="L90" i="10"/>
  <c r="T90" i="10" s="1"/>
  <c r="U90" i="10" s="1"/>
  <c r="X90" i="10" s="1"/>
  <c r="L93" i="10"/>
  <c r="T93" i="10" s="1"/>
  <c r="M96" i="10"/>
  <c r="T96" i="10" s="1"/>
  <c r="U96" i="10" s="1"/>
  <c r="X96" i="10" s="1"/>
  <c r="K101" i="10"/>
  <c r="T103" i="10"/>
  <c r="U103" i="10" s="1"/>
  <c r="X103" i="10" s="1"/>
  <c r="U110" i="10"/>
  <c r="X110" i="10" s="1"/>
  <c r="T112" i="10"/>
  <c r="U112" i="10" s="1"/>
  <c r="X112" i="10" s="1"/>
  <c r="U5" i="9"/>
  <c r="X5" i="9" s="1"/>
  <c r="L9" i="9"/>
  <c r="K9" i="9"/>
  <c r="J113" i="9"/>
  <c r="K32" i="9"/>
  <c r="K4" i="9"/>
  <c r="G113" i="9"/>
  <c r="L7" i="9"/>
  <c r="T7" i="9" s="1"/>
  <c r="M9" i="9"/>
  <c r="U28" i="9"/>
  <c r="X28" i="9" s="1"/>
  <c r="M31" i="9"/>
  <c r="T31" i="9" s="1"/>
  <c r="U31" i="9" s="1"/>
  <c r="X31" i="9" s="1"/>
  <c r="M34" i="9"/>
  <c r="L34" i="9"/>
  <c r="T34" i="9" s="1"/>
  <c r="K34" i="9"/>
  <c r="U34" i="9" s="1"/>
  <c r="X34" i="9" s="1"/>
  <c r="M42" i="9"/>
  <c r="L42" i="9"/>
  <c r="K42" i="9"/>
  <c r="M52" i="9"/>
  <c r="L52" i="9"/>
  <c r="K52" i="9"/>
  <c r="M10" i="9"/>
  <c r="L10" i="9"/>
  <c r="M19" i="9"/>
  <c r="L19" i="9"/>
  <c r="T19" i="9" s="1"/>
  <c r="K19" i="9"/>
  <c r="U19" i="9" s="1"/>
  <c r="X19" i="9" s="1"/>
  <c r="M22" i="9"/>
  <c r="L22" i="9"/>
  <c r="K22" i="9"/>
  <c r="U25" i="9"/>
  <c r="X25" i="9" s="1"/>
  <c r="U41" i="9"/>
  <c r="X41" i="9" s="1"/>
  <c r="M74" i="9"/>
  <c r="L74" i="9"/>
  <c r="K74" i="9"/>
  <c r="U107" i="9"/>
  <c r="X107" i="9" s="1"/>
  <c r="L8" i="9"/>
  <c r="L4" i="9"/>
  <c r="U7" i="9"/>
  <c r="X7" i="9" s="1"/>
  <c r="M8" i="9"/>
  <c r="M4" i="9"/>
  <c r="U13" i="9"/>
  <c r="X13" i="9" s="1"/>
  <c r="U15" i="9"/>
  <c r="X15" i="9" s="1"/>
  <c r="U17" i="9"/>
  <c r="X17" i="9" s="1"/>
  <c r="L18" i="9"/>
  <c r="T18" i="9" s="1"/>
  <c r="K18" i="9"/>
  <c r="U18" i="9" s="1"/>
  <c r="X18" i="9" s="1"/>
  <c r="N113" i="9"/>
  <c r="T25" i="9"/>
  <c r="L33" i="9"/>
  <c r="T33" i="9" s="1"/>
  <c r="U33" i="9"/>
  <c r="X33" i="9" s="1"/>
  <c r="U38" i="9"/>
  <c r="X38" i="9" s="1"/>
  <c r="M43" i="9"/>
  <c r="L43" i="9"/>
  <c r="T43" i="9" s="1"/>
  <c r="K43" i="9"/>
  <c r="U43" i="9" s="1"/>
  <c r="X43" i="9" s="1"/>
  <c r="U46" i="9"/>
  <c r="X46" i="9" s="1"/>
  <c r="M32" i="9"/>
  <c r="T32" i="9" s="1"/>
  <c r="H113" i="9"/>
  <c r="M59" i="9"/>
  <c r="L59" i="9"/>
  <c r="T59" i="9" s="1"/>
  <c r="K59" i="9"/>
  <c r="U59" i="9" s="1"/>
  <c r="X59" i="9" s="1"/>
  <c r="M62" i="9"/>
  <c r="L62" i="9"/>
  <c r="M76" i="9"/>
  <c r="L76" i="9"/>
  <c r="K76" i="9"/>
  <c r="T100" i="9"/>
  <c r="U100" i="9" s="1"/>
  <c r="X100" i="9" s="1"/>
  <c r="U103" i="9"/>
  <c r="X103" i="9" s="1"/>
  <c r="T107" i="9"/>
  <c r="K21" i="9"/>
  <c r="U21" i="9" s="1"/>
  <c r="X21" i="9" s="1"/>
  <c r="T53" i="9"/>
  <c r="U53" i="9" s="1"/>
  <c r="X53" i="9" s="1"/>
  <c r="M58" i="9"/>
  <c r="L58" i="9"/>
  <c r="T58" i="9" s="1"/>
  <c r="L64" i="9"/>
  <c r="T64" i="9" s="1"/>
  <c r="K64" i="9"/>
  <c r="U64" i="9" s="1"/>
  <c r="X64" i="9" s="1"/>
  <c r="M80" i="9"/>
  <c r="L80" i="9"/>
  <c r="T80" i="9" s="1"/>
  <c r="K80" i="9"/>
  <c r="U80" i="9" s="1"/>
  <c r="X80" i="9" s="1"/>
  <c r="M102" i="9"/>
  <c r="L102" i="9"/>
  <c r="U105" i="9"/>
  <c r="X105" i="9" s="1"/>
  <c r="L49" i="9"/>
  <c r="T49" i="9" s="1"/>
  <c r="U49" i="9" s="1"/>
  <c r="X49" i="9" s="1"/>
  <c r="T55" i="9"/>
  <c r="U55" i="9" s="1"/>
  <c r="X55" i="9" s="1"/>
  <c r="U56" i="9"/>
  <c r="X56" i="9" s="1"/>
  <c r="L57" i="9"/>
  <c r="T57" i="9" s="1"/>
  <c r="U57" i="9"/>
  <c r="X57" i="9" s="1"/>
  <c r="K58" i="9"/>
  <c r="U58" i="9" s="1"/>
  <c r="X58" i="9" s="1"/>
  <c r="U61" i="9"/>
  <c r="X61" i="9" s="1"/>
  <c r="U66" i="9"/>
  <c r="X66" i="9" s="1"/>
  <c r="M89" i="9"/>
  <c r="L89" i="9"/>
  <c r="M96" i="9"/>
  <c r="L96" i="9"/>
  <c r="T96" i="9" s="1"/>
  <c r="K96" i="9"/>
  <c r="M101" i="9"/>
  <c r="L101" i="9"/>
  <c r="T101" i="9" s="1"/>
  <c r="K101" i="9"/>
  <c r="U101" i="9" s="1"/>
  <c r="X101" i="9" s="1"/>
  <c r="T104" i="9"/>
  <c r="U104" i="9" s="1"/>
  <c r="X104" i="9" s="1"/>
  <c r="U111" i="9"/>
  <c r="X111" i="9" s="1"/>
  <c r="L90" i="9"/>
  <c r="T90" i="9" s="1"/>
  <c r="U90" i="9" s="1"/>
  <c r="X90" i="9" s="1"/>
  <c r="L110" i="9"/>
  <c r="T110" i="9" s="1"/>
  <c r="U110" i="9" s="1"/>
  <c r="X110" i="9" s="1"/>
  <c r="K112" i="9"/>
  <c r="L60" i="9"/>
  <c r="K70" i="9"/>
  <c r="U70" i="9" s="1"/>
  <c r="X70" i="9" s="1"/>
  <c r="L73" i="9"/>
  <c r="T73" i="9" s="1"/>
  <c r="U73" i="9" s="1"/>
  <c r="X73" i="9" s="1"/>
  <c r="K79" i="9"/>
  <c r="U79" i="9" s="1"/>
  <c r="X79" i="9" s="1"/>
  <c r="L81" i="9"/>
  <c r="K85" i="9"/>
  <c r="U85" i="9" s="1"/>
  <c r="X85" i="9" s="1"/>
  <c r="K86" i="9"/>
  <c r="U86" i="9" s="1"/>
  <c r="X86" i="9" s="1"/>
  <c r="K88" i="9"/>
  <c r="U88" i="9" s="1"/>
  <c r="X88" i="9" s="1"/>
  <c r="L112" i="9"/>
  <c r="T112" i="9" s="1"/>
  <c r="V57" i="12" l="1"/>
  <c r="Y57" i="12" s="1"/>
  <c r="U10" i="12"/>
  <c r="V10" i="12" s="1"/>
  <c r="Y10" i="12" s="1"/>
  <c r="U62" i="12"/>
  <c r="V62" i="12" s="1"/>
  <c r="Y62" i="12" s="1"/>
  <c r="N112" i="12"/>
  <c r="V78" i="12"/>
  <c r="Y78" i="12" s="1"/>
  <c r="V21" i="12"/>
  <c r="Y21" i="12" s="1"/>
  <c r="V68" i="11"/>
  <c r="Y68" i="11" s="1"/>
  <c r="U54" i="11"/>
  <c r="V54" i="11" s="1"/>
  <c r="Y54" i="11" s="1"/>
  <c r="V21" i="11"/>
  <c r="Y21" i="11" s="1"/>
  <c r="U91" i="11"/>
  <c r="V91" i="11" s="1"/>
  <c r="Y91" i="11" s="1"/>
  <c r="U18" i="11"/>
  <c r="V18" i="11" s="1"/>
  <c r="Y18" i="11" s="1"/>
  <c r="V34" i="11"/>
  <c r="Y34" i="11" s="1"/>
  <c r="V83" i="11"/>
  <c r="Y83" i="11" s="1"/>
  <c r="V20" i="11"/>
  <c r="Y20" i="11" s="1"/>
  <c r="U74" i="11"/>
  <c r="V74" i="11" s="1"/>
  <c r="Y74" i="11" s="1"/>
  <c r="U15" i="11"/>
  <c r="V15" i="11" s="1"/>
  <c r="Y15" i="11" s="1"/>
  <c r="U26" i="11"/>
  <c r="V26" i="11" s="1"/>
  <c r="Y26" i="11" s="1"/>
  <c r="U13" i="11"/>
  <c r="V13" i="11" s="1"/>
  <c r="Y13" i="11" s="1"/>
  <c r="U12" i="10"/>
  <c r="X12" i="10" s="1"/>
  <c r="U42" i="10"/>
  <c r="X42" i="10" s="1"/>
  <c r="T80" i="10"/>
  <c r="U80" i="10" s="1"/>
  <c r="X80" i="10" s="1"/>
  <c r="U68" i="10"/>
  <c r="X68" i="10" s="1"/>
  <c r="T43" i="10"/>
  <c r="U17" i="10"/>
  <c r="X17" i="10" s="1"/>
  <c r="U33" i="10"/>
  <c r="X33" i="10" s="1"/>
  <c r="U58" i="10"/>
  <c r="X58" i="10" s="1"/>
  <c r="U101" i="10"/>
  <c r="X101" i="10" s="1"/>
  <c r="U92" i="10"/>
  <c r="X92" i="10" s="1"/>
  <c r="U93" i="10"/>
  <c r="X93" i="10" s="1"/>
  <c r="U61" i="10"/>
  <c r="X61" i="10" s="1"/>
  <c r="T89" i="10"/>
  <c r="K112" i="12"/>
  <c r="U101" i="12"/>
  <c r="V101" i="12" s="1"/>
  <c r="Y101" i="12" s="1"/>
  <c r="V22" i="12"/>
  <c r="Y22" i="12" s="1"/>
  <c r="V63" i="12"/>
  <c r="Y63" i="12" s="1"/>
  <c r="U31" i="12"/>
  <c r="V31" i="12" s="1"/>
  <c r="Y31" i="12" s="1"/>
  <c r="U34" i="12"/>
  <c r="V34" i="12" s="1"/>
  <c r="Y34" i="12" s="1"/>
  <c r="L112" i="12"/>
  <c r="V4" i="12"/>
  <c r="V13" i="12"/>
  <c r="Y13" i="12" s="1"/>
  <c r="U8" i="12"/>
  <c r="V111" i="12"/>
  <c r="Y111" i="12" s="1"/>
  <c r="U109" i="12"/>
  <c r="V109" i="12" s="1"/>
  <c r="Y109" i="12" s="1"/>
  <c r="M112" i="12"/>
  <c r="V55" i="12"/>
  <c r="Y55" i="12" s="1"/>
  <c r="U104" i="11"/>
  <c r="V70" i="11"/>
  <c r="Y70" i="11" s="1"/>
  <c r="V38" i="11"/>
  <c r="Y38" i="11" s="1"/>
  <c r="N31" i="11"/>
  <c r="N111" i="11" s="1"/>
  <c r="M31" i="11"/>
  <c r="U7" i="11"/>
  <c r="U10" i="11"/>
  <c r="V10" i="11" s="1"/>
  <c r="Y10" i="11" s="1"/>
  <c r="U85" i="11"/>
  <c r="U60" i="11"/>
  <c r="V60" i="11" s="1"/>
  <c r="Y60" i="11" s="1"/>
  <c r="U8" i="11"/>
  <c r="V8" i="11" s="1"/>
  <c r="Y8" i="11" s="1"/>
  <c r="V104" i="11"/>
  <c r="Y104" i="11" s="1"/>
  <c r="U86" i="11"/>
  <c r="V86" i="11" s="1"/>
  <c r="Y86" i="11" s="1"/>
  <c r="V85" i="11"/>
  <c r="Y85" i="11" s="1"/>
  <c r="V71" i="11"/>
  <c r="Y71" i="11" s="1"/>
  <c r="U42" i="11"/>
  <c r="V42" i="11" s="1"/>
  <c r="Y42" i="11" s="1"/>
  <c r="U44" i="11"/>
  <c r="V44" i="11" s="1"/>
  <c r="Y44" i="11" s="1"/>
  <c r="AA44" i="11" s="1"/>
  <c r="U90" i="11"/>
  <c r="V90" i="11" s="1"/>
  <c r="Y90" i="11" s="1"/>
  <c r="U45" i="11"/>
  <c r="V45" i="11" s="1"/>
  <c r="Y45" i="11" s="1"/>
  <c r="U108" i="11"/>
  <c r="V108" i="11" s="1"/>
  <c r="Y108" i="11" s="1"/>
  <c r="U102" i="11"/>
  <c r="V102" i="11" s="1"/>
  <c r="Y102" i="11" s="1"/>
  <c r="L111" i="11"/>
  <c r="U34" i="10"/>
  <c r="X34" i="10" s="1"/>
  <c r="J113" i="10"/>
  <c r="U21" i="10"/>
  <c r="X21" i="10" s="1"/>
  <c r="U89" i="10"/>
  <c r="X89" i="10" s="1"/>
  <c r="U15" i="10"/>
  <c r="X15" i="10" s="1"/>
  <c r="U29" i="10"/>
  <c r="X29" i="10" s="1"/>
  <c r="M113" i="10"/>
  <c r="T77" i="10"/>
  <c r="U77" i="10" s="1"/>
  <c r="X77" i="10" s="1"/>
  <c r="T54" i="10"/>
  <c r="U54" i="10" s="1"/>
  <c r="X54" i="10" s="1"/>
  <c r="U13" i="10"/>
  <c r="X13" i="10" s="1"/>
  <c r="K113" i="10"/>
  <c r="U64" i="10"/>
  <c r="X64" i="10" s="1"/>
  <c r="L113" i="10"/>
  <c r="T20" i="10"/>
  <c r="U20" i="10" s="1"/>
  <c r="X20" i="10" s="1"/>
  <c r="U43" i="10"/>
  <c r="X43" i="10" s="1"/>
  <c r="Z43" i="10" s="1"/>
  <c r="X4" i="10"/>
  <c r="L113" i="9"/>
  <c r="T4" i="9"/>
  <c r="U22" i="9"/>
  <c r="X22" i="9" s="1"/>
  <c r="U112" i="9"/>
  <c r="X112" i="9" s="1"/>
  <c r="U76" i="9"/>
  <c r="X76" i="9" s="1"/>
  <c r="M113" i="9"/>
  <c r="T8" i="9"/>
  <c r="U8" i="9" s="1"/>
  <c r="X8" i="9" s="1"/>
  <c r="T74" i="9"/>
  <c r="U74" i="9" s="1"/>
  <c r="X74" i="9" s="1"/>
  <c r="T22" i="9"/>
  <c r="T42" i="9"/>
  <c r="U42" i="9" s="1"/>
  <c r="X42" i="9" s="1"/>
  <c r="K113" i="9"/>
  <c r="U4" i="9"/>
  <c r="T9" i="9"/>
  <c r="U9" i="9" s="1"/>
  <c r="X9" i="9" s="1"/>
  <c r="U96" i="9"/>
  <c r="X96" i="9" s="1"/>
  <c r="T89" i="9"/>
  <c r="U89" i="9" s="1"/>
  <c r="X89" i="9" s="1"/>
  <c r="T102" i="9"/>
  <c r="U102" i="9" s="1"/>
  <c r="X102" i="9" s="1"/>
  <c r="T76" i="9"/>
  <c r="T62" i="9"/>
  <c r="U62" i="9" s="1"/>
  <c r="X62" i="9" s="1"/>
  <c r="T10" i="9"/>
  <c r="U10" i="9" s="1"/>
  <c r="X10" i="9" s="1"/>
  <c r="T52" i="9"/>
  <c r="U52" i="9" s="1"/>
  <c r="X52" i="9" s="1"/>
  <c r="U32" i="9"/>
  <c r="X32" i="9" s="1"/>
  <c r="U112" i="12" l="1"/>
  <c r="V8" i="12"/>
  <c r="Y8" i="12" s="1"/>
  <c r="Y4" i="12"/>
  <c r="Y112" i="12" s="1"/>
  <c r="V7" i="11"/>
  <c r="U31" i="11"/>
  <c r="V31" i="11" s="1"/>
  <c r="Y31" i="11" s="1"/>
  <c r="M111" i="11"/>
  <c r="U113" i="10"/>
  <c r="X113" i="10"/>
  <c r="T113" i="10"/>
  <c r="T113" i="9"/>
  <c r="U113" i="9"/>
  <c r="X4" i="9"/>
  <c r="X113" i="9" s="1"/>
  <c r="V112" i="12" l="1"/>
  <c r="U111" i="11"/>
  <c r="Y7" i="11"/>
  <c r="Y111" i="11" s="1"/>
  <c r="V111" i="11"/>
  <c r="C208" i="6" l="1"/>
  <c r="C188" i="6"/>
  <c r="C181" i="6"/>
  <c r="C183" i="6" s="1"/>
  <c r="W116" i="6"/>
  <c r="V116" i="6"/>
  <c r="R116" i="6"/>
  <c r="Q116" i="6"/>
  <c r="P116" i="6"/>
  <c r="O116" i="6"/>
  <c r="N116" i="6"/>
  <c r="I116" i="6"/>
  <c r="E116" i="6"/>
  <c r="G115" i="6"/>
  <c r="L115" i="6" s="1"/>
  <c r="T114" i="6"/>
  <c r="G114" i="6"/>
  <c r="K114" i="6" s="1"/>
  <c r="U114" i="6" s="1"/>
  <c r="M113" i="6"/>
  <c r="H113" i="6"/>
  <c r="G113" i="6"/>
  <c r="T112" i="6"/>
  <c r="G112" i="6"/>
  <c r="J112" i="6" s="1"/>
  <c r="K112" i="6" s="1"/>
  <c r="U112" i="6" s="1"/>
  <c r="X112" i="6" s="1"/>
  <c r="G111" i="6"/>
  <c r="M111" i="6" s="1"/>
  <c r="T110" i="6"/>
  <c r="H110" i="6"/>
  <c r="G110" i="6"/>
  <c r="K110" i="6" s="1"/>
  <c r="G109" i="6"/>
  <c r="K109" i="6" s="1"/>
  <c r="M108" i="6"/>
  <c r="G108" i="6"/>
  <c r="L108" i="6" s="1"/>
  <c r="M107" i="6"/>
  <c r="L107" i="6"/>
  <c r="G107" i="6"/>
  <c r="K107" i="6" s="1"/>
  <c r="M106" i="6"/>
  <c r="L106" i="6"/>
  <c r="K106" i="6"/>
  <c r="G106" i="6"/>
  <c r="M105" i="6"/>
  <c r="L105" i="6"/>
  <c r="T105" i="6" s="1"/>
  <c r="G105" i="6"/>
  <c r="K105" i="6" s="1"/>
  <c r="G104" i="6"/>
  <c r="M103" i="6"/>
  <c r="L103" i="6"/>
  <c r="T103" i="6" s="1"/>
  <c r="G103" i="6"/>
  <c r="K103" i="6" s="1"/>
  <c r="L102" i="6"/>
  <c r="G102" i="6"/>
  <c r="J102" i="6" s="1"/>
  <c r="K102" i="6" s="1"/>
  <c r="G101" i="6"/>
  <c r="J101" i="6" s="1"/>
  <c r="L100" i="6"/>
  <c r="T100" i="6" s="1"/>
  <c r="G100" i="6"/>
  <c r="M100" i="6" s="1"/>
  <c r="G99" i="6"/>
  <c r="L99" i="6" s="1"/>
  <c r="M98" i="6"/>
  <c r="T98" i="6" s="1"/>
  <c r="G98" i="6"/>
  <c r="K98" i="6" s="1"/>
  <c r="M97" i="6"/>
  <c r="L97" i="6"/>
  <c r="T97" i="6" s="1"/>
  <c r="H97" i="6"/>
  <c r="K97" i="6" s="1"/>
  <c r="G97" i="6"/>
  <c r="G96" i="6"/>
  <c r="L96" i="6" s="1"/>
  <c r="G95" i="6"/>
  <c r="K95" i="6" s="1"/>
  <c r="T94" i="6"/>
  <c r="G94" i="6"/>
  <c r="K94" i="6" s="1"/>
  <c r="L93" i="6"/>
  <c r="K93" i="6"/>
  <c r="G93" i="6"/>
  <c r="M93" i="6" s="1"/>
  <c r="H92" i="6"/>
  <c r="K92" i="6" s="1"/>
  <c r="G92" i="6"/>
  <c r="M92" i="6" s="1"/>
  <c r="J91" i="6"/>
  <c r="K91" i="6" s="1"/>
  <c r="G91" i="6"/>
  <c r="M91" i="6" s="1"/>
  <c r="G90" i="6"/>
  <c r="K90" i="6" s="1"/>
  <c r="T89" i="6"/>
  <c r="K89" i="6"/>
  <c r="U89" i="6" s="1"/>
  <c r="X89" i="6" s="1"/>
  <c r="G89" i="6"/>
  <c r="T88" i="6"/>
  <c r="G88" i="6"/>
  <c r="K88" i="6" s="1"/>
  <c r="U88" i="6" s="1"/>
  <c r="X88" i="6" s="1"/>
  <c r="M87" i="6"/>
  <c r="G87" i="6"/>
  <c r="L87" i="6" s="1"/>
  <c r="T87" i="6" s="1"/>
  <c r="G86" i="6"/>
  <c r="H85" i="6"/>
  <c r="G85" i="6"/>
  <c r="L85" i="6" s="1"/>
  <c r="G84" i="6"/>
  <c r="L84" i="6" s="1"/>
  <c r="H83" i="6"/>
  <c r="G83" i="6"/>
  <c r="M83" i="6" s="1"/>
  <c r="H82" i="6"/>
  <c r="G82" i="6"/>
  <c r="K82" i="6" s="1"/>
  <c r="G81" i="6"/>
  <c r="G80" i="6"/>
  <c r="M80" i="6" s="1"/>
  <c r="M79" i="6"/>
  <c r="L79" i="6"/>
  <c r="T79" i="6" s="1"/>
  <c r="K79" i="6"/>
  <c r="U79" i="6" s="1"/>
  <c r="X79" i="6" s="1"/>
  <c r="G79" i="6"/>
  <c r="H78" i="6"/>
  <c r="G78" i="6"/>
  <c r="L78" i="6" s="1"/>
  <c r="T77" i="6"/>
  <c r="G77" i="6"/>
  <c r="K77" i="6" s="1"/>
  <c r="U77" i="6" s="1"/>
  <c r="X77" i="6" s="1"/>
  <c r="AA76" i="6"/>
  <c r="H76" i="6"/>
  <c r="G76" i="6"/>
  <c r="K76" i="6" s="1"/>
  <c r="T75" i="6"/>
  <c r="G75" i="6"/>
  <c r="K75" i="6" s="1"/>
  <c r="U75" i="6" s="1"/>
  <c r="X75" i="6" s="1"/>
  <c r="AA74" i="6"/>
  <c r="G74" i="6"/>
  <c r="K74" i="6" s="1"/>
  <c r="G73" i="6"/>
  <c r="K73" i="6" s="1"/>
  <c r="H72" i="6"/>
  <c r="G72" i="6"/>
  <c r="M72" i="6" s="1"/>
  <c r="G71" i="6"/>
  <c r="M71" i="6" s="1"/>
  <c r="G70" i="6"/>
  <c r="M70" i="6" s="1"/>
  <c r="T69" i="6"/>
  <c r="M69" i="6"/>
  <c r="L69" i="6"/>
  <c r="H69" i="6"/>
  <c r="G69" i="6"/>
  <c r="T68" i="6"/>
  <c r="G68" i="6"/>
  <c r="K68" i="6" s="1"/>
  <c r="U68" i="6" s="1"/>
  <c r="X68" i="6" s="1"/>
  <c r="L67" i="6"/>
  <c r="H67" i="6"/>
  <c r="G67" i="6"/>
  <c r="M67" i="6" s="1"/>
  <c r="T66" i="6"/>
  <c r="G66" i="6"/>
  <c r="K66" i="6" s="1"/>
  <c r="U66" i="6" s="1"/>
  <c r="X66" i="6" s="1"/>
  <c r="G65" i="6"/>
  <c r="K65" i="6" s="1"/>
  <c r="G64" i="6"/>
  <c r="M63" i="6"/>
  <c r="H63" i="6"/>
  <c r="K63" i="6" s="1"/>
  <c r="G63" i="6"/>
  <c r="L63" i="6" s="1"/>
  <c r="T63" i="6" s="1"/>
  <c r="T62" i="6"/>
  <c r="H62" i="6"/>
  <c r="G62" i="6"/>
  <c r="J62" i="6" s="1"/>
  <c r="K62" i="6" s="1"/>
  <c r="U62" i="6" s="1"/>
  <c r="X62" i="6" s="1"/>
  <c r="G61" i="6"/>
  <c r="K61" i="6" s="1"/>
  <c r="M60" i="6"/>
  <c r="L60" i="6"/>
  <c r="T60" i="6" s="1"/>
  <c r="K60" i="6"/>
  <c r="U60" i="6" s="1"/>
  <c r="X60" i="6" s="1"/>
  <c r="G60" i="6"/>
  <c r="T59" i="6"/>
  <c r="G59" i="6"/>
  <c r="K59" i="6" s="1"/>
  <c r="U59" i="6" s="1"/>
  <c r="X59" i="6" s="1"/>
  <c r="H58" i="6"/>
  <c r="G58" i="6"/>
  <c r="M58" i="6" s="1"/>
  <c r="T57" i="6"/>
  <c r="G57" i="6"/>
  <c r="K57" i="6" s="1"/>
  <c r="U57" i="6" s="1"/>
  <c r="X57" i="6" s="1"/>
  <c r="T56" i="6"/>
  <c r="K56" i="6"/>
  <c r="H56" i="6"/>
  <c r="G55" i="6"/>
  <c r="K54" i="6"/>
  <c r="U54" i="6" s="1"/>
  <c r="X54" i="6" s="1"/>
  <c r="H54" i="6"/>
  <c r="G54" i="6"/>
  <c r="L54" i="6" s="1"/>
  <c r="T54" i="6" s="1"/>
  <c r="T53" i="6"/>
  <c r="U53" i="6" s="1"/>
  <c r="X53" i="6" s="1"/>
  <c r="H53" i="6"/>
  <c r="G53" i="6"/>
  <c r="K53" i="6" s="1"/>
  <c r="G52" i="6"/>
  <c r="K52" i="6" s="1"/>
  <c r="M51" i="6"/>
  <c r="L51" i="6"/>
  <c r="G51" i="6"/>
  <c r="K51" i="6" s="1"/>
  <c r="M50" i="6"/>
  <c r="L50" i="6"/>
  <c r="K50" i="6"/>
  <c r="G50" i="6"/>
  <c r="T49" i="6"/>
  <c r="G49" i="6"/>
  <c r="K49" i="6" s="1"/>
  <c r="U49" i="6" s="1"/>
  <c r="X49" i="6" s="1"/>
  <c r="G48" i="6"/>
  <c r="K48" i="6" s="1"/>
  <c r="U48" i="6" s="1"/>
  <c r="X48" i="6" s="1"/>
  <c r="T47" i="6"/>
  <c r="K47" i="6"/>
  <c r="U47" i="6" s="1"/>
  <c r="X47" i="6" s="1"/>
  <c r="G47" i="6"/>
  <c r="T46" i="6"/>
  <c r="G46" i="6"/>
  <c r="K46" i="6" s="1"/>
  <c r="U46" i="6" s="1"/>
  <c r="X46" i="6" s="1"/>
  <c r="G45" i="6"/>
  <c r="K45" i="6" s="1"/>
  <c r="G44" i="6"/>
  <c r="K44" i="6" s="1"/>
  <c r="J43" i="6"/>
  <c r="G43" i="6"/>
  <c r="G42" i="6"/>
  <c r="M41" i="6"/>
  <c r="L41" i="6"/>
  <c r="T41" i="6" s="1"/>
  <c r="G41" i="6"/>
  <c r="K41" i="6" s="1"/>
  <c r="M40" i="6"/>
  <c r="L40" i="6"/>
  <c r="T40" i="6" s="1"/>
  <c r="K40" i="6"/>
  <c r="U40" i="6" s="1"/>
  <c r="X40" i="6" s="1"/>
  <c r="G40" i="6"/>
  <c r="J40" i="6" s="1"/>
  <c r="M39" i="6"/>
  <c r="L39" i="6"/>
  <c r="T39" i="6" s="1"/>
  <c r="K39" i="6"/>
  <c r="U39" i="6" s="1"/>
  <c r="X39" i="6" s="1"/>
  <c r="G39" i="6"/>
  <c r="G38" i="6"/>
  <c r="G37" i="6"/>
  <c r="T36" i="6"/>
  <c r="G36" i="6"/>
  <c r="K36" i="6" s="1"/>
  <c r="M35" i="6"/>
  <c r="L35" i="6"/>
  <c r="G35" i="6"/>
  <c r="K35" i="6" s="1"/>
  <c r="M34" i="6"/>
  <c r="L34" i="6"/>
  <c r="G34" i="6"/>
  <c r="K34" i="6" s="1"/>
  <c r="L33" i="6"/>
  <c r="K33" i="6"/>
  <c r="G33" i="6"/>
  <c r="M33" i="6" s="1"/>
  <c r="G32" i="6"/>
  <c r="K32" i="6" s="1"/>
  <c r="G31" i="6"/>
  <c r="K31" i="6" s="1"/>
  <c r="M30" i="6"/>
  <c r="G30" i="6"/>
  <c r="L30" i="6" s="1"/>
  <c r="T30" i="6" s="1"/>
  <c r="T29" i="6"/>
  <c r="U29" i="6" s="1"/>
  <c r="X29" i="6" s="1"/>
  <c r="G29" i="6"/>
  <c r="K29" i="6" s="1"/>
  <c r="M28" i="6"/>
  <c r="L28" i="6"/>
  <c r="G28" i="6"/>
  <c r="K28" i="6" s="1"/>
  <c r="G27" i="6"/>
  <c r="K27" i="6" s="1"/>
  <c r="M26" i="6"/>
  <c r="L26" i="6"/>
  <c r="K26" i="6"/>
  <c r="T25" i="6"/>
  <c r="K25" i="6"/>
  <c r="U25" i="6" s="1"/>
  <c r="X25" i="6" s="1"/>
  <c r="G25" i="6"/>
  <c r="S24" i="6"/>
  <c r="M24" i="6"/>
  <c r="G24" i="6"/>
  <c r="L24" i="6" s="1"/>
  <c r="T24" i="6" s="1"/>
  <c r="T23" i="6"/>
  <c r="G23" i="6"/>
  <c r="K23" i="6" s="1"/>
  <c r="G22" i="6"/>
  <c r="M22" i="6" s="1"/>
  <c r="G21" i="6"/>
  <c r="M21" i="6" s="1"/>
  <c r="T20" i="6"/>
  <c r="G20" i="6"/>
  <c r="K20" i="6" s="1"/>
  <c r="U20" i="6" s="1"/>
  <c r="X20" i="6" s="1"/>
  <c r="G19" i="6"/>
  <c r="M19" i="6" s="1"/>
  <c r="G18" i="6"/>
  <c r="L18" i="6" s="1"/>
  <c r="M17" i="6"/>
  <c r="L17" i="6"/>
  <c r="G17" i="6"/>
  <c r="K17" i="6" s="1"/>
  <c r="T16" i="6"/>
  <c r="G16" i="6"/>
  <c r="K16" i="6" s="1"/>
  <c r="U16" i="6" s="1"/>
  <c r="X16" i="6" s="1"/>
  <c r="G15" i="6"/>
  <c r="K15" i="6" s="1"/>
  <c r="T14" i="6"/>
  <c r="G14" i="6"/>
  <c r="K14" i="6" s="1"/>
  <c r="G13" i="6"/>
  <c r="K13" i="6" s="1"/>
  <c r="M12" i="6"/>
  <c r="L12" i="6"/>
  <c r="T12" i="6" s="1"/>
  <c r="K12" i="6"/>
  <c r="G12" i="6"/>
  <c r="S11" i="6"/>
  <c r="S116" i="6" s="1"/>
  <c r="K11" i="6"/>
  <c r="L11" i="6" s="1"/>
  <c r="G11" i="6"/>
  <c r="G10" i="6"/>
  <c r="M10" i="6" s="1"/>
  <c r="G9" i="6"/>
  <c r="K9" i="6" s="1"/>
  <c r="G8" i="6"/>
  <c r="K8" i="6" s="1"/>
  <c r="M7" i="6"/>
  <c r="L7" i="6"/>
  <c r="G7" i="6"/>
  <c r="K7" i="6" s="1"/>
  <c r="M6" i="6"/>
  <c r="L6" i="6"/>
  <c r="T6" i="6" s="1"/>
  <c r="G6" i="6"/>
  <c r="G116" i="6" s="1"/>
  <c r="M5" i="6"/>
  <c r="L5" i="6"/>
  <c r="K5" i="6"/>
  <c r="L4" i="6"/>
  <c r="T4" i="6" s="1"/>
  <c r="K4" i="6"/>
  <c r="G4" i="6"/>
  <c r="M4" i="6" s="1"/>
  <c r="C201" i="5"/>
  <c r="C181" i="5"/>
  <c r="C174" i="5"/>
  <c r="C176" i="5" s="1"/>
  <c r="W109" i="5"/>
  <c r="V109" i="5"/>
  <c r="R109" i="5"/>
  <c r="Q109" i="5"/>
  <c r="P109" i="5"/>
  <c r="O109" i="5"/>
  <c r="N109" i="5"/>
  <c r="I109" i="5"/>
  <c r="E109" i="5"/>
  <c r="G108" i="5"/>
  <c r="T107" i="5"/>
  <c r="G107" i="5"/>
  <c r="K107" i="5" s="1"/>
  <c r="U107" i="5" s="1"/>
  <c r="H106" i="5"/>
  <c r="G106" i="5"/>
  <c r="M106" i="5" s="1"/>
  <c r="T105" i="5"/>
  <c r="G105" i="5"/>
  <c r="G104" i="5"/>
  <c r="T103" i="5"/>
  <c r="H103" i="5"/>
  <c r="K103" i="5" s="1"/>
  <c r="U103" i="5" s="1"/>
  <c r="X103" i="5" s="1"/>
  <c r="G103" i="5"/>
  <c r="G102" i="5"/>
  <c r="K102" i="5" s="1"/>
  <c r="L102" i="5" s="1"/>
  <c r="T102" i="5" s="1"/>
  <c r="U102" i="5" s="1"/>
  <c r="X102" i="5" s="1"/>
  <c r="M101" i="5"/>
  <c r="T101" i="5" s="1"/>
  <c r="L101" i="5"/>
  <c r="G101" i="5"/>
  <c r="K101" i="5" s="1"/>
  <c r="M100" i="5"/>
  <c r="L100" i="5"/>
  <c r="T100" i="5" s="1"/>
  <c r="G100" i="5"/>
  <c r="K100" i="5" s="1"/>
  <c r="M99" i="5"/>
  <c r="L99" i="5"/>
  <c r="K99" i="5"/>
  <c r="G99" i="5"/>
  <c r="G98" i="5"/>
  <c r="M98" i="5" s="1"/>
  <c r="G97" i="5"/>
  <c r="L97" i="5" s="1"/>
  <c r="L96" i="5"/>
  <c r="G96" i="5"/>
  <c r="M96" i="5" s="1"/>
  <c r="T96" i="5" s="1"/>
  <c r="L95" i="5"/>
  <c r="G95" i="5"/>
  <c r="J95" i="5" s="1"/>
  <c r="K95" i="5" s="1"/>
  <c r="M94" i="5"/>
  <c r="K94" i="5"/>
  <c r="G94" i="5"/>
  <c r="L94" i="5" s="1"/>
  <c r="L93" i="5"/>
  <c r="T93" i="5" s="1"/>
  <c r="G93" i="5"/>
  <c r="M93" i="5" s="1"/>
  <c r="M92" i="5"/>
  <c r="T92" i="5" s="1"/>
  <c r="G92" i="5"/>
  <c r="K92" i="5" s="1"/>
  <c r="M91" i="5"/>
  <c r="L91" i="5"/>
  <c r="H91" i="5"/>
  <c r="G91" i="5"/>
  <c r="K91" i="5" s="1"/>
  <c r="K90" i="5"/>
  <c r="G90" i="5"/>
  <c r="M90" i="5" s="1"/>
  <c r="G89" i="5"/>
  <c r="L89" i="5" s="1"/>
  <c r="T88" i="5"/>
  <c r="G88" i="5"/>
  <c r="K88" i="5" s="1"/>
  <c r="G87" i="5"/>
  <c r="K87" i="5" s="1"/>
  <c r="K86" i="5"/>
  <c r="H86" i="5"/>
  <c r="G86" i="5"/>
  <c r="M86" i="5" s="1"/>
  <c r="T85" i="5"/>
  <c r="U85" i="5" s="1"/>
  <c r="X85" i="5" s="1"/>
  <c r="G85" i="5"/>
  <c r="J85" i="5" s="1"/>
  <c r="K85" i="5" s="1"/>
  <c r="G84" i="5"/>
  <c r="K84" i="5" s="1"/>
  <c r="T83" i="5"/>
  <c r="G83" i="5"/>
  <c r="K83" i="5" s="1"/>
  <c r="U83" i="5" s="1"/>
  <c r="X83" i="5" s="1"/>
  <c r="T82" i="5"/>
  <c r="K82" i="5"/>
  <c r="U82" i="5" s="1"/>
  <c r="X82" i="5" s="1"/>
  <c r="G82" i="5"/>
  <c r="L81" i="5"/>
  <c r="T81" i="5" s="1"/>
  <c r="G81" i="5"/>
  <c r="M81" i="5" s="1"/>
  <c r="H80" i="5"/>
  <c r="G80" i="5"/>
  <c r="M79" i="5"/>
  <c r="T79" i="5" s="1"/>
  <c r="G79" i="5"/>
  <c r="L79" i="5" s="1"/>
  <c r="M78" i="5"/>
  <c r="L78" i="5"/>
  <c r="G78" i="5"/>
  <c r="K78" i="5" s="1"/>
  <c r="L77" i="5"/>
  <c r="H77" i="5"/>
  <c r="G77" i="5"/>
  <c r="M77" i="5" s="1"/>
  <c r="T76" i="5"/>
  <c r="G76" i="5"/>
  <c r="K76" i="5" s="1"/>
  <c r="U76" i="5" s="1"/>
  <c r="X76" i="5" s="1"/>
  <c r="T75" i="5"/>
  <c r="J75" i="5"/>
  <c r="K75" i="5" s="1"/>
  <c r="U75" i="5" s="1"/>
  <c r="X75" i="5" s="1"/>
  <c r="G75" i="5"/>
  <c r="AA74" i="5"/>
  <c r="H74" i="5"/>
  <c r="G74" i="5"/>
  <c r="K74" i="5" s="1"/>
  <c r="T73" i="5"/>
  <c r="G73" i="5"/>
  <c r="K73" i="5" s="1"/>
  <c r="U73" i="5" s="1"/>
  <c r="X73" i="5" s="1"/>
  <c r="AA72" i="5"/>
  <c r="G72" i="5"/>
  <c r="K72" i="5" s="1"/>
  <c r="G71" i="5"/>
  <c r="M70" i="5"/>
  <c r="K70" i="5"/>
  <c r="G70" i="5"/>
  <c r="L70" i="5" s="1"/>
  <c r="T70" i="5" s="1"/>
  <c r="T69" i="5"/>
  <c r="L69" i="5"/>
  <c r="H69" i="5"/>
  <c r="K69" i="5" s="1"/>
  <c r="G69" i="5"/>
  <c r="M69" i="5" s="1"/>
  <c r="G68" i="5"/>
  <c r="M68" i="5" s="1"/>
  <c r="M67" i="5"/>
  <c r="L67" i="5"/>
  <c r="T67" i="5" s="1"/>
  <c r="H67" i="5"/>
  <c r="K67" i="5" s="1"/>
  <c r="G67" i="5"/>
  <c r="T66" i="5"/>
  <c r="G66" i="5"/>
  <c r="K66" i="5" s="1"/>
  <c r="U66" i="5" s="1"/>
  <c r="X66" i="5" s="1"/>
  <c r="H65" i="5"/>
  <c r="G65" i="5"/>
  <c r="M65" i="5" s="1"/>
  <c r="T64" i="5"/>
  <c r="G64" i="5"/>
  <c r="K64" i="5" s="1"/>
  <c r="U64" i="5" s="1"/>
  <c r="X64" i="5" s="1"/>
  <c r="G63" i="5"/>
  <c r="K63" i="5" s="1"/>
  <c r="G62" i="5"/>
  <c r="L62" i="5" s="1"/>
  <c r="T62" i="5" s="1"/>
  <c r="M61" i="5"/>
  <c r="H61" i="5"/>
  <c r="G61" i="5"/>
  <c r="L61" i="5" s="1"/>
  <c r="T60" i="5"/>
  <c r="H60" i="5"/>
  <c r="G60" i="5"/>
  <c r="J60" i="5" s="1"/>
  <c r="G59" i="5"/>
  <c r="K59" i="5" s="1"/>
  <c r="M58" i="5"/>
  <c r="L58" i="5"/>
  <c r="T58" i="5" s="1"/>
  <c r="G58" i="5"/>
  <c r="K58" i="5" s="1"/>
  <c r="T57" i="5"/>
  <c r="G57" i="5"/>
  <c r="K57" i="5" s="1"/>
  <c r="U57" i="5" s="1"/>
  <c r="X57" i="5" s="1"/>
  <c r="L56" i="5"/>
  <c r="H56" i="5"/>
  <c r="G56" i="5"/>
  <c r="M56" i="5" s="1"/>
  <c r="M55" i="5"/>
  <c r="K55" i="5"/>
  <c r="G55" i="5"/>
  <c r="L55" i="5" s="1"/>
  <c r="T54" i="5"/>
  <c r="H54" i="5"/>
  <c r="G54" i="5"/>
  <c r="K53" i="5"/>
  <c r="H53" i="5"/>
  <c r="G53" i="5"/>
  <c r="L53" i="5" s="1"/>
  <c r="T53" i="5" s="1"/>
  <c r="T52" i="5"/>
  <c r="H52" i="5"/>
  <c r="G52" i="5"/>
  <c r="K52" i="5" s="1"/>
  <c r="U52" i="5" s="1"/>
  <c r="X52" i="5" s="1"/>
  <c r="M51" i="5"/>
  <c r="T51" i="5" s="1"/>
  <c r="K51" i="5"/>
  <c r="U51" i="5" s="1"/>
  <c r="X51" i="5" s="1"/>
  <c r="G51" i="5"/>
  <c r="L51" i="5" s="1"/>
  <c r="M50" i="5"/>
  <c r="G50" i="5"/>
  <c r="K50" i="5" s="1"/>
  <c r="M49" i="5"/>
  <c r="L49" i="5"/>
  <c r="T49" i="5" s="1"/>
  <c r="G49" i="5"/>
  <c r="K49" i="5" s="1"/>
  <c r="U49" i="5" s="1"/>
  <c r="X49" i="5" s="1"/>
  <c r="T48" i="5"/>
  <c r="G48" i="5"/>
  <c r="K48" i="5" s="1"/>
  <c r="U48" i="5" s="1"/>
  <c r="X48" i="5" s="1"/>
  <c r="G47" i="5"/>
  <c r="K47" i="5" s="1"/>
  <c r="U47" i="5" s="1"/>
  <c r="X47" i="5" s="1"/>
  <c r="T46" i="5"/>
  <c r="G46" i="5"/>
  <c r="K46" i="5" s="1"/>
  <c r="U46" i="5" s="1"/>
  <c r="X46" i="5" s="1"/>
  <c r="T45" i="5"/>
  <c r="G45" i="5"/>
  <c r="K45" i="5" s="1"/>
  <c r="U45" i="5" s="1"/>
  <c r="X45" i="5" s="1"/>
  <c r="K44" i="5"/>
  <c r="G44" i="5"/>
  <c r="L44" i="5" s="1"/>
  <c r="G43" i="5"/>
  <c r="K42" i="5"/>
  <c r="L42" i="5" s="1"/>
  <c r="G42" i="5"/>
  <c r="G41" i="5"/>
  <c r="M41" i="5" s="1"/>
  <c r="K40" i="5"/>
  <c r="G40" i="5"/>
  <c r="L40" i="5" s="1"/>
  <c r="M39" i="5"/>
  <c r="T39" i="5" s="1"/>
  <c r="L39" i="5"/>
  <c r="G39" i="5"/>
  <c r="J39" i="5" s="1"/>
  <c r="G38" i="5"/>
  <c r="K38" i="5" s="1"/>
  <c r="M37" i="5"/>
  <c r="K37" i="5"/>
  <c r="G37" i="5"/>
  <c r="L37" i="5" s="1"/>
  <c r="T37" i="5" s="1"/>
  <c r="U37" i="5" s="1"/>
  <c r="X37" i="5" s="1"/>
  <c r="G36" i="5"/>
  <c r="M36" i="5" s="1"/>
  <c r="T35" i="5"/>
  <c r="K35" i="5"/>
  <c r="U35" i="5" s="1"/>
  <c r="X35" i="5" s="1"/>
  <c r="G35" i="5"/>
  <c r="T34" i="5"/>
  <c r="M34" i="5"/>
  <c r="L34" i="5"/>
  <c r="G34" i="5"/>
  <c r="K34" i="5" s="1"/>
  <c r="M33" i="5"/>
  <c r="T33" i="5" s="1"/>
  <c r="L33" i="5"/>
  <c r="K33" i="5"/>
  <c r="G33" i="5"/>
  <c r="M32" i="5"/>
  <c r="G32" i="5"/>
  <c r="K32" i="5" s="1"/>
  <c r="K31" i="5"/>
  <c r="M31" i="5" s="1"/>
  <c r="G31" i="5"/>
  <c r="L30" i="5"/>
  <c r="T30" i="5" s="1"/>
  <c r="G30" i="5"/>
  <c r="M30" i="5" s="1"/>
  <c r="G29" i="5"/>
  <c r="L29" i="5" s="1"/>
  <c r="T28" i="5"/>
  <c r="G28" i="5"/>
  <c r="K28" i="5" s="1"/>
  <c r="U28" i="5" s="1"/>
  <c r="X28" i="5" s="1"/>
  <c r="M27" i="5"/>
  <c r="L27" i="5"/>
  <c r="G27" i="5"/>
  <c r="K27" i="5" s="1"/>
  <c r="G26" i="5"/>
  <c r="K26" i="5" s="1"/>
  <c r="M25" i="5"/>
  <c r="L25" i="5"/>
  <c r="K25" i="5"/>
  <c r="G25" i="5"/>
  <c r="T24" i="5"/>
  <c r="G24" i="5"/>
  <c r="K24" i="5" s="1"/>
  <c r="S23" i="5"/>
  <c r="G23" i="5"/>
  <c r="K23" i="5" s="1"/>
  <c r="T22" i="5"/>
  <c r="G22" i="5"/>
  <c r="K22" i="5" s="1"/>
  <c r="U22" i="5" s="1"/>
  <c r="X22" i="5" s="1"/>
  <c r="G21" i="5"/>
  <c r="K21" i="5" s="1"/>
  <c r="M20" i="5"/>
  <c r="K20" i="5"/>
  <c r="G20" i="5"/>
  <c r="L20" i="5" s="1"/>
  <c r="T20" i="5" s="1"/>
  <c r="U20" i="5" s="1"/>
  <c r="X20" i="5" s="1"/>
  <c r="U19" i="5"/>
  <c r="X19" i="5" s="1"/>
  <c r="T19" i="5"/>
  <c r="G19" i="5"/>
  <c r="K19" i="5" s="1"/>
  <c r="M18" i="5"/>
  <c r="K18" i="5"/>
  <c r="G18" i="5"/>
  <c r="L18" i="5" s="1"/>
  <c r="T18" i="5" s="1"/>
  <c r="L17" i="5"/>
  <c r="T17" i="5" s="1"/>
  <c r="G17" i="5"/>
  <c r="M17" i="5" s="1"/>
  <c r="G16" i="5"/>
  <c r="L16" i="5" s="1"/>
  <c r="T15" i="5"/>
  <c r="G15" i="5"/>
  <c r="K15" i="5" s="1"/>
  <c r="U15" i="5" s="1"/>
  <c r="X15" i="5" s="1"/>
  <c r="K14" i="5"/>
  <c r="M14" i="5" s="1"/>
  <c r="T14" i="5" s="1"/>
  <c r="U14" i="5" s="1"/>
  <c r="X14" i="5" s="1"/>
  <c r="T13" i="5"/>
  <c r="G13" i="5"/>
  <c r="K13" i="5" s="1"/>
  <c r="U13" i="5" s="1"/>
  <c r="X13" i="5" s="1"/>
  <c r="K12" i="5"/>
  <c r="M11" i="5"/>
  <c r="T11" i="5" s="1"/>
  <c r="L11" i="5"/>
  <c r="G11" i="5"/>
  <c r="K11" i="5" s="1"/>
  <c r="S10" i="5"/>
  <c r="M10" i="5"/>
  <c r="L10" i="5"/>
  <c r="T10" i="5" s="1"/>
  <c r="G10" i="5"/>
  <c r="K10" i="5" s="1"/>
  <c r="U10" i="5" s="1"/>
  <c r="X10" i="5" s="1"/>
  <c r="G9" i="5"/>
  <c r="K9" i="5" s="1"/>
  <c r="G8" i="5"/>
  <c r="K8" i="5" s="1"/>
  <c r="M8" i="5" s="1"/>
  <c r="G7" i="5"/>
  <c r="K7" i="5" s="1"/>
  <c r="T6" i="5"/>
  <c r="M6" i="5"/>
  <c r="L6" i="5"/>
  <c r="G6" i="5"/>
  <c r="K6" i="5" s="1"/>
  <c r="M5" i="5"/>
  <c r="L5" i="5"/>
  <c r="G5" i="5"/>
  <c r="M4" i="5"/>
  <c r="L4" i="5"/>
  <c r="K4" i="5"/>
  <c r="L74" i="6" l="1"/>
  <c r="M74" i="6"/>
  <c r="T74" i="6" s="1"/>
  <c r="U98" i="6"/>
  <c r="X98" i="6" s="1"/>
  <c r="M65" i="6"/>
  <c r="L65" i="6"/>
  <c r="U91" i="6"/>
  <c r="X91" i="6" s="1"/>
  <c r="K22" i="6"/>
  <c r="T33" i="6"/>
  <c r="U33" i="6" s="1"/>
  <c r="X33" i="6" s="1"/>
  <c r="T35" i="6"/>
  <c r="K69" i="6"/>
  <c r="U69" i="6" s="1"/>
  <c r="X69" i="6" s="1"/>
  <c r="K71" i="6"/>
  <c r="K80" i="6"/>
  <c r="K96" i="6"/>
  <c r="U96" i="6" s="1"/>
  <c r="T107" i="6"/>
  <c r="U97" i="6"/>
  <c r="X97" i="6" s="1"/>
  <c r="T7" i="6"/>
  <c r="L15" i="6"/>
  <c r="M18" i="6"/>
  <c r="T18" i="6" s="1"/>
  <c r="L22" i="6"/>
  <c r="K24" i="6"/>
  <c r="U24" i="6" s="1"/>
  <c r="X24" i="6" s="1"/>
  <c r="L27" i="6"/>
  <c r="K30" i="6"/>
  <c r="U30" i="6" s="1"/>
  <c r="X30" i="6" s="1"/>
  <c r="U36" i="6"/>
  <c r="X36" i="6" s="1"/>
  <c r="T67" i="6"/>
  <c r="U67" i="6" s="1"/>
  <c r="X67" i="6" s="1"/>
  <c r="K70" i="6"/>
  <c r="L71" i="6"/>
  <c r="K72" i="6"/>
  <c r="L76" i="6"/>
  <c r="T76" i="6" s="1"/>
  <c r="U76" i="6" s="1"/>
  <c r="X76" i="6" s="1"/>
  <c r="M78" i="6"/>
  <c r="L80" i="6"/>
  <c r="T80" i="6" s="1"/>
  <c r="L83" i="6"/>
  <c r="T83" i="6" s="1"/>
  <c r="K85" i="6"/>
  <c r="U85" i="6" s="1"/>
  <c r="X85" i="6" s="1"/>
  <c r="K87" i="6"/>
  <c r="U87" i="6" s="1"/>
  <c r="X87" i="6" s="1"/>
  <c r="L91" i="6"/>
  <c r="T91" i="6" s="1"/>
  <c r="L92" i="6"/>
  <c r="T92" i="6" s="1"/>
  <c r="U92" i="6" s="1"/>
  <c r="X92" i="6" s="1"/>
  <c r="L95" i="6"/>
  <c r="M96" i="6"/>
  <c r="K101" i="6"/>
  <c r="M102" i="6"/>
  <c r="T108" i="6"/>
  <c r="U110" i="6"/>
  <c r="X110" i="6" s="1"/>
  <c r="K111" i="6"/>
  <c r="K115" i="6"/>
  <c r="T85" i="6"/>
  <c r="T96" i="6"/>
  <c r="U4" i="6"/>
  <c r="X4" i="6" s="1"/>
  <c r="U12" i="6"/>
  <c r="X12" i="6" s="1"/>
  <c r="U14" i="6"/>
  <c r="X14" i="6" s="1"/>
  <c r="M15" i="6"/>
  <c r="T17" i="6"/>
  <c r="U23" i="6"/>
  <c r="X23" i="6" s="1"/>
  <c r="T26" i="6"/>
  <c r="U26" i="6" s="1"/>
  <c r="X26" i="6" s="1"/>
  <c r="M27" i="6"/>
  <c r="U41" i="6"/>
  <c r="X41" i="6" s="1"/>
  <c r="T51" i="6"/>
  <c r="H116" i="6"/>
  <c r="K58" i="6"/>
  <c r="K67" i="6"/>
  <c r="L70" i="6"/>
  <c r="T70" i="6" s="1"/>
  <c r="L72" i="6"/>
  <c r="M82" i="6"/>
  <c r="M85" i="6"/>
  <c r="U94" i="6"/>
  <c r="X94" i="6" s="1"/>
  <c r="M95" i="6"/>
  <c r="T95" i="6" s="1"/>
  <c r="U95" i="6" s="1"/>
  <c r="X95" i="6" s="1"/>
  <c r="K100" i="6"/>
  <c r="L101" i="6"/>
  <c r="U105" i="6"/>
  <c r="X105" i="6" s="1"/>
  <c r="K108" i="6"/>
  <c r="U108" i="6" s="1"/>
  <c r="X108" i="6" s="1"/>
  <c r="L111" i="6"/>
  <c r="T111" i="6" s="1"/>
  <c r="K113" i="6"/>
  <c r="M115" i="6"/>
  <c r="T115" i="6" s="1"/>
  <c r="U115" i="6" s="1"/>
  <c r="X115" i="6" s="1"/>
  <c r="M63" i="5"/>
  <c r="L63" i="5"/>
  <c r="U18" i="5"/>
  <c r="X18" i="5" s="1"/>
  <c r="U6" i="5"/>
  <c r="X6" i="5" s="1"/>
  <c r="M9" i="5"/>
  <c r="M23" i="5"/>
  <c r="U34" i="5"/>
  <c r="X34" i="5" s="1"/>
  <c r="K60" i="5"/>
  <c r="U60" i="5" s="1"/>
  <c r="X60" i="5" s="1"/>
  <c r="K65" i="5"/>
  <c r="U65" i="5" s="1"/>
  <c r="X65" i="5" s="1"/>
  <c r="L68" i="5"/>
  <c r="T68" i="5" s="1"/>
  <c r="K77" i="5"/>
  <c r="T78" i="5"/>
  <c r="L86" i="5"/>
  <c r="U92" i="5"/>
  <c r="X92" i="5" s="1"/>
  <c r="K98" i="5"/>
  <c r="J105" i="5"/>
  <c r="K105" i="5" s="1"/>
  <c r="U105" i="5" s="1"/>
  <c r="X105" i="5" s="1"/>
  <c r="U53" i="5"/>
  <c r="X53" i="5" s="1"/>
  <c r="U67" i="5"/>
  <c r="X67" i="5" s="1"/>
  <c r="U58" i="5"/>
  <c r="X58" i="5" s="1"/>
  <c r="L65" i="5"/>
  <c r="T65" i="5" s="1"/>
  <c r="U69" i="5"/>
  <c r="X69" i="5" s="1"/>
  <c r="L74" i="5"/>
  <c r="L98" i="5"/>
  <c r="T98" i="5" s="1"/>
  <c r="U101" i="5"/>
  <c r="X101" i="5" s="1"/>
  <c r="L106" i="5"/>
  <c r="T106" i="5" s="1"/>
  <c r="U33" i="5"/>
  <c r="X33" i="5" s="1"/>
  <c r="T5" i="5"/>
  <c r="U24" i="5"/>
  <c r="X24" i="5" s="1"/>
  <c r="T25" i="5"/>
  <c r="U25" i="5" s="1"/>
  <c r="X25" i="5" s="1"/>
  <c r="M26" i="5"/>
  <c r="T27" i="5"/>
  <c r="U27" i="5" s="1"/>
  <c r="X27" i="5" s="1"/>
  <c r="M40" i="5"/>
  <c r="T40" i="5" s="1"/>
  <c r="U40" i="5" s="1"/>
  <c r="X40" i="5" s="1"/>
  <c r="M44" i="5"/>
  <c r="T44" i="5" s="1"/>
  <c r="U44" i="5" s="1"/>
  <c r="X44" i="5" s="1"/>
  <c r="H109" i="5"/>
  <c r="K56" i="5"/>
  <c r="K61" i="5"/>
  <c r="M74" i="5"/>
  <c r="K79" i="5"/>
  <c r="U79" i="5" s="1"/>
  <c r="X79" i="5" s="1"/>
  <c r="M87" i="5"/>
  <c r="M89" i="5"/>
  <c r="T89" i="5" s="1"/>
  <c r="L90" i="5"/>
  <c r="T90" i="5" s="1"/>
  <c r="U90" i="5" s="1"/>
  <c r="K93" i="5"/>
  <c r="U93" i="5" s="1"/>
  <c r="X93" i="5" s="1"/>
  <c r="M95" i="5"/>
  <c r="T95" i="5" s="1"/>
  <c r="U95" i="5" s="1"/>
  <c r="X95" i="5" s="1"/>
  <c r="M97" i="5"/>
  <c r="T97" i="5" s="1"/>
  <c r="M8" i="6"/>
  <c r="L8" i="6"/>
  <c r="U7" i="6"/>
  <c r="X7" i="6" s="1"/>
  <c r="L9" i="6"/>
  <c r="M9" i="6"/>
  <c r="U22" i="6"/>
  <c r="X22" i="6" s="1"/>
  <c r="L13" i="6"/>
  <c r="M13" i="6"/>
  <c r="U17" i="6"/>
  <c r="X17" i="6" s="1"/>
  <c r="T22" i="6"/>
  <c r="M32" i="6"/>
  <c r="L32" i="6"/>
  <c r="M90" i="6"/>
  <c r="L90" i="6"/>
  <c r="K6" i="6"/>
  <c r="U6" i="6" s="1"/>
  <c r="X6" i="6" s="1"/>
  <c r="K10" i="6"/>
  <c r="K19" i="6"/>
  <c r="K21" i="6"/>
  <c r="M38" i="6"/>
  <c r="L38" i="6"/>
  <c r="L42" i="6"/>
  <c r="K42" i="6"/>
  <c r="K43" i="6"/>
  <c r="M86" i="6"/>
  <c r="L86" i="6"/>
  <c r="K86" i="6"/>
  <c r="M45" i="6"/>
  <c r="L45" i="6"/>
  <c r="L52" i="6"/>
  <c r="M52" i="6"/>
  <c r="T5" i="6"/>
  <c r="U5" i="6" s="1"/>
  <c r="L10" i="6"/>
  <c r="T10" i="6" s="1"/>
  <c r="M11" i="6"/>
  <c r="T11" i="6" s="1"/>
  <c r="U11" i="6" s="1"/>
  <c r="X11" i="6" s="1"/>
  <c r="K18" i="6"/>
  <c r="L19" i="6"/>
  <c r="T19" i="6" s="1"/>
  <c r="L21" i="6"/>
  <c r="T21" i="6" s="1"/>
  <c r="L31" i="6"/>
  <c r="T31" i="6" s="1"/>
  <c r="U31" i="6" s="1"/>
  <c r="X31" i="6" s="1"/>
  <c r="U35" i="6"/>
  <c r="X35" i="6" s="1"/>
  <c r="L37" i="6"/>
  <c r="K37" i="6"/>
  <c r="K38" i="6"/>
  <c r="M42" i="6"/>
  <c r="U63" i="6"/>
  <c r="X63" i="6" s="1"/>
  <c r="T78" i="6"/>
  <c r="K81" i="6"/>
  <c r="M81" i="6"/>
  <c r="L81" i="6"/>
  <c r="U100" i="6"/>
  <c r="L104" i="6"/>
  <c r="M104" i="6"/>
  <c r="K104" i="6"/>
  <c r="M44" i="6"/>
  <c r="L44" i="6"/>
  <c r="L64" i="6"/>
  <c r="T64" i="6" s="1"/>
  <c r="J64" i="6"/>
  <c r="K64" i="6" s="1"/>
  <c r="U64" i="6" s="1"/>
  <c r="X64" i="6" s="1"/>
  <c r="T28" i="6"/>
  <c r="U28" i="6" s="1"/>
  <c r="X28" i="6" s="1"/>
  <c r="T34" i="6"/>
  <c r="U34" i="6" s="1"/>
  <c r="X34" i="6" s="1"/>
  <c r="M37" i="6"/>
  <c r="L55" i="6"/>
  <c r="T55" i="6" s="1"/>
  <c r="M55" i="6"/>
  <c r="K55" i="6"/>
  <c r="U55" i="6" s="1"/>
  <c r="X55" i="6" s="1"/>
  <c r="M61" i="6"/>
  <c r="L61" i="6"/>
  <c r="U80" i="6"/>
  <c r="X80" i="6" s="1"/>
  <c r="L109" i="6"/>
  <c r="T109" i="6" s="1"/>
  <c r="U109" i="6" s="1"/>
  <c r="X109" i="6" s="1"/>
  <c r="T72" i="6"/>
  <c r="U72" i="6" s="1"/>
  <c r="X72" i="6" s="1"/>
  <c r="M76" i="6"/>
  <c r="U82" i="6"/>
  <c r="X82" i="6" s="1"/>
  <c r="L58" i="6"/>
  <c r="T58" i="6" s="1"/>
  <c r="U58" i="6" s="1"/>
  <c r="X58" i="6" s="1"/>
  <c r="T71" i="6"/>
  <c r="U71" i="6" s="1"/>
  <c r="X71" i="6" s="1"/>
  <c r="L73" i="6"/>
  <c r="U74" i="6"/>
  <c r="X74" i="6" s="1"/>
  <c r="K84" i="6"/>
  <c r="U84" i="6" s="1"/>
  <c r="X84" i="6" s="1"/>
  <c r="T93" i="6"/>
  <c r="U93" i="6" s="1"/>
  <c r="K99" i="6"/>
  <c r="M101" i="6"/>
  <c r="T101" i="6" s="1"/>
  <c r="U101" i="6" s="1"/>
  <c r="X101" i="6" s="1"/>
  <c r="T106" i="6"/>
  <c r="U106" i="6" s="1"/>
  <c r="X106" i="6" s="1"/>
  <c r="U107" i="6"/>
  <c r="X107" i="6" s="1"/>
  <c r="T50" i="6"/>
  <c r="U50" i="6" s="1"/>
  <c r="X50" i="6" s="1"/>
  <c r="U51" i="6"/>
  <c r="X51" i="6" s="1"/>
  <c r="U56" i="6"/>
  <c r="X56" i="6" s="1"/>
  <c r="M73" i="6"/>
  <c r="K78" i="6"/>
  <c r="L82" i="6"/>
  <c r="T82" i="6" s="1"/>
  <c r="K83" i="6"/>
  <c r="U83" i="6" s="1"/>
  <c r="X83" i="6" s="1"/>
  <c r="M84" i="6"/>
  <c r="T84" i="6" s="1"/>
  <c r="M99" i="6"/>
  <c r="T99" i="6" s="1"/>
  <c r="T102" i="6"/>
  <c r="U102" i="6" s="1"/>
  <c r="X102" i="6" s="1"/>
  <c r="U103" i="6"/>
  <c r="X103" i="6" s="1"/>
  <c r="L113" i="6"/>
  <c r="T113" i="6" s="1"/>
  <c r="U113" i="6" s="1"/>
  <c r="X113" i="6" s="1"/>
  <c r="K39" i="5"/>
  <c r="U39" i="5" s="1"/>
  <c r="X39" i="5" s="1"/>
  <c r="L84" i="5"/>
  <c r="M84" i="5"/>
  <c r="U11" i="5"/>
  <c r="X11" i="5" s="1"/>
  <c r="M7" i="5"/>
  <c r="L7" i="5"/>
  <c r="L12" i="5"/>
  <c r="L21" i="5"/>
  <c r="K36" i="5"/>
  <c r="L38" i="5"/>
  <c r="K41" i="5"/>
  <c r="T61" i="5"/>
  <c r="U61" i="5" s="1"/>
  <c r="X61" i="5" s="1"/>
  <c r="J96" i="5"/>
  <c r="K96" i="5" s="1"/>
  <c r="U96" i="5" s="1"/>
  <c r="X96" i="5" s="1"/>
  <c r="M104" i="5"/>
  <c r="L104" i="5"/>
  <c r="T104" i="5" s="1"/>
  <c r="L108" i="5"/>
  <c r="M108" i="5"/>
  <c r="K108" i="5"/>
  <c r="L8" i="5"/>
  <c r="T8" i="5" s="1"/>
  <c r="U8" i="5" s="1"/>
  <c r="X8" i="5" s="1"/>
  <c r="M12" i="5"/>
  <c r="K16" i="5"/>
  <c r="M21" i="5"/>
  <c r="K29" i="5"/>
  <c r="L31" i="5"/>
  <c r="T31" i="5" s="1"/>
  <c r="U31" i="5" s="1"/>
  <c r="X31" i="5" s="1"/>
  <c r="L36" i="5"/>
  <c r="T36" i="5" s="1"/>
  <c r="M38" i="5"/>
  <c r="L41" i="5"/>
  <c r="T41" i="5" s="1"/>
  <c r="L43" i="5"/>
  <c r="M43" i="5"/>
  <c r="K43" i="5"/>
  <c r="M59" i="5"/>
  <c r="J62" i="5"/>
  <c r="K62" i="5" s="1"/>
  <c r="U62" i="5" s="1"/>
  <c r="X62" i="5" s="1"/>
  <c r="L72" i="5"/>
  <c r="K104" i="5"/>
  <c r="T4" i="5"/>
  <c r="G109" i="5"/>
  <c r="K5" i="5"/>
  <c r="U5" i="5" s="1"/>
  <c r="X5" i="5" s="1"/>
  <c r="L9" i="5"/>
  <c r="T9" i="5" s="1"/>
  <c r="U9" i="5" s="1"/>
  <c r="X9" i="5" s="1"/>
  <c r="S109" i="5"/>
  <c r="M16" i="5"/>
  <c r="T16" i="5" s="1"/>
  <c r="K17" i="5"/>
  <c r="U17" i="5" s="1"/>
  <c r="X17" i="5" s="1"/>
  <c r="L23" i="5"/>
  <c r="L26" i="5"/>
  <c r="T26" i="5" s="1"/>
  <c r="U26" i="5" s="1"/>
  <c r="X26" i="5" s="1"/>
  <c r="M29" i="5"/>
  <c r="T29" i="5" s="1"/>
  <c r="K30" i="5"/>
  <c r="U30" i="5" s="1"/>
  <c r="X30" i="5" s="1"/>
  <c r="L32" i="5"/>
  <c r="T32" i="5" s="1"/>
  <c r="U32" i="5" s="1"/>
  <c r="X32" i="5" s="1"/>
  <c r="M42" i="5"/>
  <c r="T42" i="5" s="1"/>
  <c r="U42" i="5" s="1"/>
  <c r="X42" i="5" s="1"/>
  <c r="K54" i="5"/>
  <c r="U54" i="5" s="1"/>
  <c r="X54" i="5" s="1"/>
  <c r="L59" i="5"/>
  <c r="T59" i="5" s="1"/>
  <c r="U59" i="5" s="1"/>
  <c r="X59" i="5" s="1"/>
  <c r="T63" i="5"/>
  <c r="U63" i="5" s="1"/>
  <c r="X63" i="5" s="1"/>
  <c r="U70" i="5"/>
  <c r="X70" i="5" s="1"/>
  <c r="K71" i="5"/>
  <c r="M71" i="5"/>
  <c r="L71" i="5"/>
  <c r="T71" i="5" s="1"/>
  <c r="M72" i="5"/>
  <c r="L80" i="5"/>
  <c r="M80" i="5"/>
  <c r="K80" i="5"/>
  <c r="U88" i="5"/>
  <c r="X88" i="5" s="1"/>
  <c r="T56" i="5"/>
  <c r="U56" i="5" s="1"/>
  <c r="X56" i="5" s="1"/>
  <c r="T77" i="5"/>
  <c r="U77" i="5" s="1"/>
  <c r="X77" i="5" s="1"/>
  <c r="U78" i="5"/>
  <c r="X78" i="5" s="1"/>
  <c r="T86" i="5"/>
  <c r="U86" i="5" s="1"/>
  <c r="X86" i="5" s="1"/>
  <c r="L50" i="5"/>
  <c r="T50" i="5" s="1"/>
  <c r="U50" i="5" s="1"/>
  <c r="X50" i="5" s="1"/>
  <c r="T55" i="5"/>
  <c r="U55" i="5" s="1"/>
  <c r="X55" i="5" s="1"/>
  <c r="K68" i="5"/>
  <c r="U68" i="5" s="1"/>
  <c r="X68" i="5" s="1"/>
  <c r="K81" i="5"/>
  <c r="U81" i="5" s="1"/>
  <c r="X81" i="5" s="1"/>
  <c r="L87" i="5"/>
  <c r="T87" i="5" s="1"/>
  <c r="U87" i="5" s="1"/>
  <c r="K89" i="5"/>
  <c r="U89" i="5" s="1"/>
  <c r="X89" i="5" s="1"/>
  <c r="T91" i="5"/>
  <c r="U91" i="5" s="1"/>
  <c r="X91" i="5" s="1"/>
  <c r="T94" i="5"/>
  <c r="U94" i="5" s="1"/>
  <c r="K97" i="5"/>
  <c r="U97" i="5" s="1"/>
  <c r="X97" i="5" s="1"/>
  <c r="T99" i="5"/>
  <c r="U99" i="5" s="1"/>
  <c r="X99" i="5" s="1"/>
  <c r="U100" i="5"/>
  <c r="X100" i="5" s="1"/>
  <c r="K106" i="5"/>
  <c r="T104" i="6" l="1"/>
  <c r="U104" i="6" s="1"/>
  <c r="X104" i="6" s="1"/>
  <c r="T86" i="6"/>
  <c r="U86" i="6" s="1"/>
  <c r="X86" i="6" s="1"/>
  <c r="T90" i="6"/>
  <c r="U90" i="6" s="1"/>
  <c r="X90" i="6" s="1"/>
  <c r="T8" i="6"/>
  <c r="U8" i="6" s="1"/>
  <c r="X8" i="6" s="1"/>
  <c r="T65" i="6"/>
  <c r="U65" i="6" s="1"/>
  <c r="X65" i="6" s="1"/>
  <c r="U18" i="6"/>
  <c r="X18" i="6" s="1"/>
  <c r="U111" i="6"/>
  <c r="X111" i="6" s="1"/>
  <c r="T81" i="6"/>
  <c r="T38" i="6"/>
  <c r="T32" i="6"/>
  <c r="U32" i="6" s="1"/>
  <c r="X32" i="6" s="1"/>
  <c r="T9" i="6"/>
  <c r="U9" i="6" s="1"/>
  <c r="X9" i="6" s="1"/>
  <c r="U70" i="6"/>
  <c r="X70" i="6" s="1"/>
  <c r="T27" i="6"/>
  <c r="U27" i="6" s="1"/>
  <c r="X27" i="6" s="1"/>
  <c r="T15" i="6"/>
  <c r="U15" i="6" s="1"/>
  <c r="X15" i="6" s="1"/>
  <c r="T12" i="5"/>
  <c r="U12" i="5" s="1"/>
  <c r="X12" i="5" s="1"/>
  <c r="T74" i="5"/>
  <c r="U74" i="5" s="1"/>
  <c r="X74" i="5" s="1"/>
  <c r="U98" i="5"/>
  <c r="X98" i="5" s="1"/>
  <c r="T72" i="5"/>
  <c r="U72" i="5" s="1"/>
  <c r="X72" i="5" s="1"/>
  <c r="U106" i="5"/>
  <c r="X106" i="5" s="1"/>
  <c r="T23" i="5"/>
  <c r="U23" i="5" s="1"/>
  <c r="X23" i="5" s="1"/>
  <c r="X5" i="6"/>
  <c r="U19" i="6"/>
  <c r="X19" i="6" s="1"/>
  <c r="U38" i="6"/>
  <c r="X38" i="6" s="1"/>
  <c r="K116" i="6"/>
  <c r="L43" i="6"/>
  <c r="T43" i="6" s="1"/>
  <c r="U43" i="6" s="1"/>
  <c r="X43" i="6" s="1"/>
  <c r="M43" i="6"/>
  <c r="M116" i="6" s="1"/>
  <c r="U10" i="6"/>
  <c r="X10" i="6" s="1"/>
  <c r="J116" i="6"/>
  <c r="U78" i="6"/>
  <c r="X78" i="6" s="1"/>
  <c r="U99" i="6"/>
  <c r="X99" i="6" s="1"/>
  <c r="T61" i="6"/>
  <c r="U61" i="6" s="1"/>
  <c r="X61" i="6" s="1"/>
  <c r="T44" i="6"/>
  <c r="U44" i="6" s="1"/>
  <c r="X44" i="6" s="1"/>
  <c r="Z44" i="6" s="1"/>
  <c r="T52" i="6"/>
  <c r="U52" i="6" s="1"/>
  <c r="X52" i="6" s="1"/>
  <c r="T13" i="6"/>
  <c r="U13" i="6" s="1"/>
  <c r="X13" i="6" s="1"/>
  <c r="T73" i="6"/>
  <c r="U73" i="6" s="1"/>
  <c r="X73" i="6" s="1"/>
  <c r="U81" i="6"/>
  <c r="X81" i="6" s="1"/>
  <c r="T37" i="6"/>
  <c r="U37" i="6" s="1"/>
  <c r="X37" i="6" s="1"/>
  <c r="T116" i="6"/>
  <c r="T45" i="6"/>
  <c r="U45" i="6" s="1"/>
  <c r="X45" i="6" s="1"/>
  <c r="T42" i="6"/>
  <c r="U42" i="6" s="1"/>
  <c r="X42" i="6" s="1"/>
  <c r="U21" i="6"/>
  <c r="X21" i="6" s="1"/>
  <c r="U16" i="5"/>
  <c r="X16" i="5" s="1"/>
  <c r="K109" i="5"/>
  <c r="U41" i="5"/>
  <c r="X41" i="5" s="1"/>
  <c r="M109" i="5"/>
  <c r="L109" i="5"/>
  <c r="U4" i="5"/>
  <c r="U29" i="5"/>
  <c r="X29" i="5" s="1"/>
  <c r="T38" i="5"/>
  <c r="U38" i="5" s="1"/>
  <c r="X38" i="5" s="1"/>
  <c r="T84" i="5"/>
  <c r="U84" i="5" s="1"/>
  <c r="X84" i="5" s="1"/>
  <c r="T80" i="5"/>
  <c r="U80" i="5" s="1"/>
  <c r="X80" i="5" s="1"/>
  <c r="U71" i="5"/>
  <c r="X71" i="5" s="1"/>
  <c r="U104" i="5"/>
  <c r="X104" i="5" s="1"/>
  <c r="U36" i="5"/>
  <c r="X36" i="5" s="1"/>
  <c r="J109" i="5"/>
  <c r="T43" i="5"/>
  <c r="U43" i="5" s="1"/>
  <c r="X43" i="5" s="1"/>
  <c r="Z43" i="5" s="1"/>
  <c r="T108" i="5"/>
  <c r="U108" i="5" s="1"/>
  <c r="X108" i="5" s="1"/>
  <c r="T21" i="5"/>
  <c r="U21" i="5" s="1"/>
  <c r="X21" i="5" s="1"/>
  <c r="T7" i="5"/>
  <c r="U7" i="5" s="1"/>
  <c r="X7" i="5" s="1"/>
  <c r="L116" i="6" l="1"/>
  <c r="X116" i="6"/>
  <c r="U116" i="6"/>
  <c r="U109" i="5"/>
  <c r="X4" i="5"/>
  <c r="X109" i="5" s="1"/>
  <c r="T109" i="5"/>
  <c r="C197" i="4" l="1"/>
  <c r="C177" i="4"/>
  <c r="C170" i="4"/>
  <c r="C172" i="4" s="1"/>
  <c r="W105" i="4"/>
  <c r="V105" i="4"/>
  <c r="R105" i="4"/>
  <c r="Q105" i="4"/>
  <c r="P105" i="4"/>
  <c r="O105" i="4"/>
  <c r="N105" i="4"/>
  <c r="I105" i="4"/>
  <c r="G104" i="4"/>
  <c r="M104" i="4" s="1"/>
  <c r="L103" i="4"/>
  <c r="H103" i="4"/>
  <c r="G103" i="4"/>
  <c r="K103" i="4" s="1"/>
  <c r="T102" i="4"/>
  <c r="J102" i="4"/>
  <c r="K102" i="4" s="1"/>
  <c r="U102" i="4" s="1"/>
  <c r="X102" i="4" s="1"/>
  <c r="G102" i="4"/>
  <c r="G101" i="4"/>
  <c r="K101" i="4" s="1"/>
  <c r="T100" i="4"/>
  <c r="K100" i="4"/>
  <c r="H100" i="4"/>
  <c r="G100" i="4"/>
  <c r="G99" i="4"/>
  <c r="K99" i="4" s="1"/>
  <c r="T98" i="4"/>
  <c r="M98" i="4"/>
  <c r="L98" i="4"/>
  <c r="G98" i="4"/>
  <c r="K98" i="4" s="1"/>
  <c r="L97" i="4"/>
  <c r="G97" i="4"/>
  <c r="K97" i="4" s="1"/>
  <c r="M96" i="4"/>
  <c r="L96" i="4"/>
  <c r="T96" i="4" s="1"/>
  <c r="G96" i="4"/>
  <c r="K96" i="4" s="1"/>
  <c r="U96" i="4" s="1"/>
  <c r="X96" i="4" s="1"/>
  <c r="G95" i="4"/>
  <c r="K95" i="4" s="1"/>
  <c r="G94" i="4"/>
  <c r="M94" i="4" s="1"/>
  <c r="L93" i="4"/>
  <c r="G93" i="4"/>
  <c r="K93" i="4" s="1"/>
  <c r="L92" i="4"/>
  <c r="G92" i="4"/>
  <c r="J92" i="4" s="1"/>
  <c r="G91" i="4"/>
  <c r="J91" i="4" s="1"/>
  <c r="K91" i="4" s="1"/>
  <c r="K90" i="4"/>
  <c r="G90" i="4"/>
  <c r="M90" i="4" s="1"/>
  <c r="M89" i="4"/>
  <c r="T89" i="4" s="1"/>
  <c r="U89" i="4" s="1"/>
  <c r="X89" i="4" s="1"/>
  <c r="G89" i="4"/>
  <c r="K89" i="4" s="1"/>
  <c r="M88" i="4"/>
  <c r="L88" i="4"/>
  <c r="H88" i="4"/>
  <c r="G88" i="4"/>
  <c r="K88" i="4" s="1"/>
  <c r="M87" i="4"/>
  <c r="G87" i="4"/>
  <c r="K87" i="4" s="1"/>
  <c r="T86" i="4"/>
  <c r="G86" i="4"/>
  <c r="K86" i="4" s="1"/>
  <c r="U86" i="4" s="1"/>
  <c r="X86" i="4" s="1"/>
  <c r="H85" i="4"/>
  <c r="G85" i="4"/>
  <c r="K85" i="4" s="1"/>
  <c r="T84" i="4"/>
  <c r="G84" i="4"/>
  <c r="T83" i="4"/>
  <c r="G83" i="4"/>
  <c r="K83" i="4" s="1"/>
  <c r="T82" i="4"/>
  <c r="G82" i="4"/>
  <c r="K82" i="4" s="1"/>
  <c r="U82" i="4" s="1"/>
  <c r="X82" i="4" s="1"/>
  <c r="T81" i="4"/>
  <c r="G81" i="4"/>
  <c r="K81" i="4" s="1"/>
  <c r="U81" i="4" s="1"/>
  <c r="X81" i="4" s="1"/>
  <c r="G80" i="4"/>
  <c r="H79" i="4"/>
  <c r="G79" i="4"/>
  <c r="M79" i="4" s="1"/>
  <c r="G78" i="4"/>
  <c r="K78" i="4" s="1"/>
  <c r="M77" i="4"/>
  <c r="L77" i="4"/>
  <c r="T77" i="4" s="1"/>
  <c r="K77" i="4"/>
  <c r="U77" i="4" s="1"/>
  <c r="X77" i="4" s="1"/>
  <c r="G77" i="4"/>
  <c r="H76" i="4"/>
  <c r="K76" i="4" s="1"/>
  <c r="G76" i="4"/>
  <c r="M76" i="4" s="1"/>
  <c r="T75" i="4"/>
  <c r="G75" i="4"/>
  <c r="K75" i="4" s="1"/>
  <c r="T74" i="4"/>
  <c r="G74" i="4"/>
  <c r="J74" i="4" s="1"/>
  <c r="K74" i="4" s="1"/>
  <c r="U74" i="4" s="1"/>
  <c r="X74" i="4" s="1"/>
  <c r="AA73" i="4"/>
  <c r="H73" i="4"/>
  <c r="G73" i="4"/>
  <c r="M73" i="4" s="1"/>
  <c r="T72" i="4"/>
  <c r="U72" i="4" s="1"/>
  <c r="X72" i="4" s="1"/>
  <c r="K72" i="4"/>
  <c r="G72" i="4"/>
  <c r="AA71" i="4"/>
  <c r="T71" i="4"/>
  <c r="G71" i="4"/>
  <c r="J71" i="4" s="1"/>
  <c r="K71" i="4" s="1"/>
  <c r="U71" i="4" s="1"/>
  <c r="X71" i="4" s="1"/>
  <c r="K70" i="4"/>
  <c r="G70" i="4"/>
  <c r="G69" i="4"/>
  <c r="H68" i="4"/>
  <c r="G68" i="4"/>
  <c r="M67" i="4"/>
  <c r="L67" i="4"/>
  <c r="T67" i="4" s="1"/>
  <c r="H67" i="4"/>
  <c r="G67" i="4"/>
  <c r="T66" i="4"/>
  <c r="G66" i="4"/>
  <c r="K66" i="4" s="1"/>
  <c r="U66" i="4" s="1"/>
  <c r="X66" i="4" s="1"/>
  <c r="M65" i="4"/>
  <c r="H65" i="4"/>
  <c r="G65" i="4"/>
  <c r="T64" i="4"/>
  <c r="K64" i="4"/>
  <c r="G64" i="4"/>
  <c r="T63" i="4"/>
  <c r="K63" i="4"/>
  <c r="G63" i="4"/>
  <c r="G62" i="4"/>
  <c r="L62" i="4" s="1"/>
  <c r="T62" i="4" s="1"/>
  <c r="K61" i="4"/>
  <c r="H61" i="4"/>
  <c r="G61" i="4"/>
  <c r="M61" i="4" s="1"/>
  <c r="T60" i="4"/>
  <c r="H60" i="4"/>
  <c r="G60" i="4"/>
  <c r="J60" i="4" s="1"/>
  <c r="G59" i="4"/>
  <c r="M59" i="4" s="1"/>
  <c r="M58" i="4"/>
  <c r="L58" i="4"/>
  <c r="G58" i="4"/>
  <c r="K58" i="4" s="1"/>
  <c r="X57" i="4"/>
  <c r="U57" i="4"/>
  <c r="T57" i="4"/>
  <c r="G57" i="4"/>
  <c r="K57" i="4" s="1"/>
  <c r="H56" i="4"/>
  <c r="G56" i="4"/>
  <c r="M55" i="4"/>
  <c r="L55" i="4"/>
  <c r="T55" i="4" s="1"/>
  <c r="K55" i="4"/>
  <c r="G55" i="4"/>
  <c r="T54" i="4"/>
  <c r="H54" i="4"/>
  <c r="G54" i="4"/>
  <c r="H53" i="4"/>
  <c r="G53" i="4"/>
  <c r="K53" i="4" s="1"/>
  <c r="T52" i="4"/>
  <c r="H52" i="4"/>
  <c r="G52" i="4"/>
  <c r="K52" i="4" s="1"/>
  <c r="U52" i="4" s="1"/>
  <c r="X52" i="4" s="1"/>
  <c r="G51" i="4"/>
  <c r="E50" i="4"/>
  <c r="G50" i="4" s="1"/>
  <c r="M49" i="4"/>
  <c r="L49" i="4"/>
  <c r="G49" i="4"/>
  <c r="K49" i="4" s="1"/>
  <c r="T48" i="4"/>
  <c r="G48" i="4"/>
  <c r="K48" i="4" s="1"/>
  <c r="U48" i="4" s="1"/>
  <c r="X48" i="4" s="1"/>
  <c r="K47" i="4"/>
  <c r="U47" i="4" s="1"/>
  <c r="X47" i="4" s="1"/>
  <c r="G47" i="4"/>
  <c r="T46" i="4"/>
  <c r="G46" i="4"/>
  <c r="K46" i="4" s="1"/>
  <c r="U46" i="4" s="1"/>
  <c r="X46" i="4" s="1"/>
  <c r="T45" i="4"/>
  <c r="G45" i="4"/>
  <c r="K45" i="4" s="1"/>
  <c r="U45" i="4" s="1"/>
  <c r="X45" i="4" s="1"/>
  <c r="L44" i="4"/>
  <c r="G44" i="4"/>
  <c r="M44" i="4" s="1"/>
  <c r="L43" i="4"/>
  <c r="T43" i="4" s="1"/>
  <c r="K43" i="4"/>
  <c r="G43" i="4"/>
  <c r="M43" i="4" s="1"/>
  <c r="G42" i="4"/>
  <c r="K42" i="4" s="1"/>
  <c r="G41" i="4"/>
  <c r="K40" i="4"/>
  <c r="G40" i="4"/>
  <c r="M40" i="4" s="1"/>
  <c r="M39" i="4"/>
  <c r="L39" i="4"/>
  <c r="T39" i="4" s="1"/>
  <c r="K39" i="4"/>
  <c r="J39" i="4"/>
  <c r="G39" i="4"/>
  <c r="G38" i="4"/>
  <c r="M37" i="4"/>
  <c r="T37" i="4" s="1"/>
  <c r="K37" i="4"/>
  <c r="G37" i="4"/>
  <c r="L37" i="4" s="1"/>
  <c r="G36" i="4"/>
  <c r="M36" i="4" s="1"/>
  <c r="T35" i="4"/>
  <c r="G35" i="4"/>
  <c r="K35" i="4" s="1"/>
  <c r="U35" i="4" s="1"/>
  <c r="X35" i="4" s="1"/>
  <c r="M34" i="4"/>
  <c r="T34" i="4" s="1"/>
  <c r="L34" i="4"/>
  <c r="G34" i="4"/>
  <c r="K34" i="4" s="1"/>
  <c r="M33" i="4"/>
  <c r="L33" i="4"/>
  <c r="T33" i="4" s="1"/>
  <c r="G33" i="4"/>
  <c r="K33" i="4" s="1"/>
  <c r="M32" i="4"/>
  <c r="L32" i="4"/>
  <c r="T32" i="4" s="1"/>
  <c r="K32" i="4"/>
  <c r="U32" i="4" s="1"/>
  <c r="X32" i="4" s="1"/>
  <c r="G32" i="4"/>
  <c r="G31" i="4"/>
  <c r="K31" i="4" s="1"/>
  <c r="G30" i="4"/>
  <c r="M29" i="4"/>
  <c r="G29" i="4"/>
  <c r="K29" i="4" s="1"/>
  <c r="U28" i="4"/>
  <c r="X28" i="4" s="1"/>
  <c r="T28" i="4"/>
  <c r="G28" i="4"/>
  <c r="K28" i="4" s="1"/>
  <c r="M27" i="4"/>
  <c r="L27" i="4"/>
  <c r="G27" i="4"/>
  <c r="K27" i="4" s="1"/>
  <c r="M26" i="4"/>
  <c r="L26" i="4"/>
  <c r="T26" i="4" s="1"/>
  <c r="K26" i="4"/>
  <c r="U26" i="4" s="1"/>
  <c r="X26" i="4" s="1"/>
  <c r="G26" i="4"/>
  <c r="M25" i="4"/>
  <c r="L25" i="4"/>
  <c r="T25" i="4" s="1"/>
  <c r="G25" i="4"/>
  <c r="K25" i="4" s="1"/>
  <c r="T24" i="4"/>
  <c r="K24" i="4"/>
  <c r="U24" i="4" s="1"/>
  <c r="X24" i="4" s="1"/>
  <c r="G24" i="4"/>
  <c r="S23" i="4"/>
  <c r="M23" i="4"/>
  <c r="L23" i="4"/>
  <c r="T23" i="4" s="1"/>
  <c r="G23" i="4"/>
  <c r="K23" i="4" s="1"/>
  <c r="T22" i="4"/>
  <c r="G22" i="4"/>
  <c r="K22" i="4" s="1"/>
  <c r="K21" i="4"/>
  <c r="G21" i="4"/>
  <c r="M21" i="4" s="1"/>
  <c r="G20" i="4"/>
  <c r="K20" i="4" s="1"/>
  <c r="T19" i="4"/>
  <c r="K19" i="4"/>
  <c r="G19" i="4"/>
  <c r="G18" i="4"/>
  <c r="G17" i="4"/>
  <c r="G16" i="4"/>
  <c r="K16" i="4" s="1"/>
  <c r="T15" i="4"/>
  <c r="G15" i="4"/>
  <c r="K15" i="4" s="1"/>
  <c r="T14" i="4"/>
  <c r="G14" i="4"/>
  <c r="K14" i="4" s="1"/>
  <c r="U14" i="4" s="1"/>
  <c r="X14" i="4" s="1"/>
  <c r="T13" i="4"/>
  <c r="K13" i="4"/>
  <c r="G13" i="4"/>
  <c r="G12" i="4"/>
  <c r="M11" i="4"/>
  <c r="T11" i="4" s="1"/>
  <c r="L11" i="4"/>
  <c r="G11" i="4"/>
  <c r="K11" i="4" s="1"/>
  <c r="S10" i="4"/>
  <c r="S105" i="4" s="1"/>
  <c r="M10" i="4"/>
  <c r="L10" i="4"/>
  <c r="G10" i="4"/>
  <c r="K10" i="4" s="1"/>
  <c r="M9" i="4"/>
  <c r="G9" i="4"/>
  <c r="K9" i="4" s="1"/>
  <c r="K8" i="4"/>
  <c r="M8" i="4" s="1"/>
  <c r="G8" i="4"/>
  <c r="G7" i="4"/>
  <c r="K7" i="4" s="1"/>
  <c r="M6" i="4"/>
  <c r="L6" i="4"/>
  <c r="G6" i="4"/>
  <c r="K6" i="4" s="1"/>
  <c r="M5" i="4"/>
  <c r="L5" i="4"/>
  <c r="T5" i="4" s="1"/>
  <c r="G5" i="4"/>
  <c r="G105" i="4" s="1"/>
  <c r="M4" i="4"/>
  <c r="L4" i="4"/>
  <c r="K4" i="4"/>
  <c r="C202" i="3"/>
  <c r="C182" i="3"/>
  <c r="C175" i="3"/>
  <c r="C177" i="3" s="1"/>
  <c r="W110" i="3"/>
  <c r="V110" i="3"/>
  <c r="R110" i="3"/>
  <c r="Q110" i="3"/>
  <c r="P110" i="3"/>
  <c r="O110" i="3"/>
  <c r="N110" i="3"/>
  <c r="I110" i="3"/>
  <c r="E110" i="3"/>
  <c r="G109" i="3"/>
  <c r="L109" i="3" s="1"/>
  <c r="L108" i="3"/>
  <c r="H108" i="3"/>
  <c r="G108" i="3"/>
  <c r="T107" i="3"/>
  <c r="H107" i="3"/>
  <c r="G107" i="3"/>
  <c r="J107" i="3" s="1"/>
  <c r="K107" i="3" s="1"/>
  <c r="U107" i="3" s="1"/>
  <c r="X107" i="3" s="1"/>
  <c r="T106" i="3"/>
  <c r="G106" i="3"/>
  <c r="J106" i="3" s="1"/>
  <c r="K106" i="3" s="1"/>
  <c r="U106" i="3" s="1"/>
  <c r="X106" i="3" s="1"/>
  <c r="M105" i="3"/>
  <c r="G105" i="3"/>
  <c r="L105" i="3" s="1"/>
  <c r="H104" i="3"/>
  <c r="G104" i="3"/>
  <c r="L104" i="3" s="1"/>
  <c r="T104" i="3" s="1"/>
  <c r="J103" i="3"/>
  <c r="K103" i="3" s="1"/>
  <c r="L103" i="3" s="1"/>
  <c r="T103" i="3" s="1"/>
  <c r="G103" i="3"/>
  <c r="G102" i="3"/>
  <c r="M101" i="3"/>
  <c r="K101" i="3"/>
  <c r="G101" i="3"/>
  <c r="L101" i="3" s="1"/>
  <c r="L100" i="3"/>
  <c r="G100" i="3"/>
  <c r="K100" i="3" s="1"/>
  <c r="G99" i="3"/>
  <c r="L99" i="3" s="1"/>
  <c r="G98" i="3"/>
  <c r="M97" i="3"/>
  <c r="K97" i="3"/>
  <c r="G97" i="3"/>
  <c r="L97" i="3" s="1"/>
  <c r="T97" i="3" s="1"/>
  <c r="T96" i="3"/>
  <c r="L96" i="3"/>
  <c r="G96" i="3"/>
  <c r="J96" i="3" s="1"/>
  <c r="K96" i="3" s="1"/>
  <c r="U96" i="3" s="1"/>
  <c r="X96" i="3" s="1"/>
  <c r="G95" i="3"/>
  <c r="J95" i="3" s="1"/>
  <c r="M94" i="3"/>
  <c r="G94" i="3"/>
  <c r="L94" i="3" s="1"/>
  <c r="M93" i="3"/>
  <c r="T93" i="3" s="1"/>
  <c r="G93" i="3"/>
  <c r="K93" i="3" s="1"/>
  <c r="H92" i="3"/>
  <c r="K92" i="3" s="1"/>
  <c r="G92" i="3"/>
  <c r="M92" i="3" s="1"/>
  <c r="L91" i="3"/>
  <c r="G91" i="3"/>
  <c r="K91" i="3" s="1"/>
  <c r="M90" i="3"/>
  <c r="G90" i="3"/>
  <c r="L90" i="3" s="1"/>
  <c r="H89" i="3"/>
  <c r="G89" i="3"/>
  <c r="M89" i="3" s="1"/>
  <c r="T88" i="3"/>
  <c r="G88" i="3"/>
  <c r="J88" i="3" s="1"/>
  <c r="K88" i="3" s="1"/>
  <c r="U88" i="3" s="1"/>
  <c r="X88" i="3" s="1"/>
  <c r="T87" i="3"/>
  <c r="G87" i="3"/>
  <c r="K87" i="3" s="1"/>
  <c r="U87" i="3" s="1"/>
  <c r="X87" i="3" s="1"/>
  <c r="L86" i="3"/>
  <c r="G86" i="3"/>
  <c r="K86" i="3" s="1"/>
  <c r="T85" i="3"/>
  <c r="G85" i="3"/>
  <c r="K85" i="3" s="1"/>
  <c r="T84" i="3"/>
  <c r="K84" i="3"/>
  <c r="U84" i="3" s="1"/>
  <c r="X84" i="3" s="1"/>
  <c r="G84" i="3"/>
  <c r="K83" i="3"/>
  <c r="G83" i="3"/>
  <c r="L83" i="3" s="1"/>
  <c r="T83" i="3" s="1"/>
  <c r="H82" i="3"/>
  <c r="G82" i="3"/>
  <c r="M82" i="3" s="1"/>
  <c r="G81" i="3"/>
  <c r="M80" i="3"/>
  <c r="T80" i="3" s="1"/>
  <c r="L80" i="3"/>
  <c r="K80" i="3"/>
  <c r="U80" i="3" s="1"/>
  <c r="X80" i="3" s="1"/>
  <c r="G80" i="3"/>
  <c r="H79" i="3"/>
  <c r="G79" i="3"/>
  <c r="M79" i="3" s="1"/>
  <c r="T78" i="3"/>
  <c r="G78" i="3"/>
  <c r="K78" i="3" s="1"/>
  <c r="T77" i="3"/>
  <c r="K77" i="3"/>
  <c r="U77" i="3" s="1"/>
  <c r="X77" i="3" s="1"/>
  <c r="G77" i="3"/>
  <c r="J77" i="3" s="1"/>
  <c r="AA76" i="3"/>
  <c r="T76" i="3"/>
  <c r="G76" i="3"/>
  <c r="K76" i="3" s="1"/>
  <c r="T75" i="3"/>
  <c r="K75" i="3"/>
  <c r="U75" i="3" s="1"/>
  <c r="X75" i="3" s="1"/>
  <c r="G75" i="3"/>
  <c r="AA74" i="3"/>
  <c r="T74" i="3"/>
  <c r="G74" i="3"/>
  <c r="J74" i="3" s="1"/>
  <c r="M73" i="3"/>
  <c r="H73" i="3"/>
  <c r="G73" i="3"/>
  <c r="L73" i="3" s="1"/>
  <c r="M72" i="3"/>
  <c r="K72" i="3"/>
  <c r="G72" i="3"/>
  <c r="L72" i="3" s="1"/>
  <c r="L71" i="3"/>
  <c r="H71" i="3"/>
  <c r="G71" i="3"/>
  <c r="M71" i="3" s="1"/>
  <c r="H70" i="3"/>
  <c r="G70" i="3"/>
  <c r="M70" i="3" s="1"/>
  <c r="T69" i="3"/>
  <c r="G69" i="3"/>
  <c r="J69" i="3" s="1"/>
  <c r="K69" i="3" s="1"/>
  <c r="U69" i="3" s="1"/>
  <c r="X69" i="3" s="1"/>
  <c r="T68" i="3"/>
  <c r="G68" i="3"/>
  <c r="K68" i="3" s="1"/>
  <c r="U68" i="3" s="1"/>
  <c r="X68" i="3" s="1"/>
  <c r="T67" i="3"/>
  <c r="G67" i="3"/>
  <c r="J67" i="3" s="1"/>
  <c r="K67" i="3" s="1"/>
  <c r="U67" i="3" s="1"/>
  <c r="X67" i="3" s="1"/>
  <c r="T66" i="3"/>
  <c r="K66" i="3"/>
  <c r="U66" i="3" s="1"/>
  <c r="X66" i="3" s="1"/>
  <c r="G66" i="3"/>
  <c r="G65" i="3"/>
  <c r="H64" i="3"/>
  <c r="K64" i="3" s="1"/>
  <c r="G64" i="3"/>
  <c r="L64" i="3" s="1"/>
  <c r="T63" i="3"/>
  <c r="H63" i="3"/>
  <c r="K63" i="3" s="1"/>
  <c r="U63" i="3" s="1"/>
  <c r="X63" i="3" s="1"/>
  <c r="G63" i="3"/>
  <c r="J63" i="3" s="1"/>
  <c r="L62" i="3"/>
  <c r="G62" i="3"/>
  <c r="M61" i="3"/>
  <c r="K61" i="3"/>
  <c r="G61" i="3"/>
  <c r="L61" i="3" s="1"/>
  <c r="G60" i="3"/>
  <c r="M60" i="3" s="1"/>
  <c r="H59" i="3"/>
  <c r="G59" i="3"/>
  <c r="K58" i="3"/>
  <c r="G58" i="3"/>
  <c r="L58" i="3" s="1"/>
  <c r="H57" i="3"/>
  <c r="G57" i="3"/>
  <c r="K57" i="3" s="1"/>
  <c r="H56" i="3"/>
  <c r="K56" i="3" s="1"/>
  <c r="G56" i="3"/>
  <c r="L56" i="3" s="1"/>
  <c r="T56" i="3" s="1"/>
  <c r="M55" i="3"/>
  <c r="H55" i="3"/>
  <c r="G55" i="3"/>
  <c r="L54" i="3"/>
  <c r="G54" i="3"/>
  <c r="K54" i="3" s="1"/>
  <c r="G53" i="3"/>
  <c r="L53" i="3" s="1"/>
  <c r="T53" i="3" s="1"/>
  <c r="G52" i="3"/>
  <c r="T51" i="3"/>
  <c r="K51" i="3"/>
  <c r="U51" i="3" s="1"/>
  <c r="X51" i="3" s="1"/>
  <c r="G51" i="3"/>
  <c r="G50" i="3"/>
  <c r="K50" i="3" s="1"/>
  <c r="U50" i="3" s="1"/>
  <c r="X50" i="3" s="1"/>
  <c r="T49" i="3"/>
  <c r="G49" i="3"/>
  <c r="K49" i="3" s="1"/>
  <c r="U49" i="3" s="1"/>
  <c r="X49" i="3" s="1"/>
  <c r="T48" i="3"/>
  <c r="K48" i="3"/>
  <c r="U48" i="3" s="1"/>
  <c r="X48" i="3" s="1"/>
  <c r="G48" i="3"/>
  <c r="G47" i="3"/>
  <c r="M47" i="3" s="1"/>
  <c r="G46" i="3"/>
  <c r="G45" i="3"/>
  <c r="K45" i="3" s="1"/>
  <c r="L44" i="3"/>
  <c r="G44" i="3"/>
  <c r="K44" i="3" s="1"/>
  <c r="K43" i="3"/>
  <c r="G43" i="3"/>
  <c r="M43" i="3" s="1"/>
  <c r="G42" i="3"/>
  <c r="M41" i="3"/>
  <c r="L41" i="3"/>
  <c r="G41" i="3"/>
  <c r="J41" i="3" s="1"/>
  <c r="G40" i="3"/>
  <c r="L40" i="3" s="1"/>
  <c r="T40" i="3" s="1"/>
  <c r="K39" i="3"/>
  <c r="G39" i="3"/>
  <c r="M39" i="3" s="1"/>
  <c r="G38" i="3"/>
  <c r="T37" i="3"/>
  <c r="K37" i="3"/>
  <c r="U37" i="3" s="1"/>
  <c r="X37" i="3" s="1"/>
  <c r="G37" i="3"/>
  <c r="G36" i="3"/>
  <c r="M35" i="3"/>
  <c r="L35" i="3"/>
  <c r="G35" i="3"/>
  <c r="K35" i="3" s="1"/>
  <c r="M34" i="3"/>
  <c r="K34" i="3"/>
  <c r="G34" i="3"/>
  <c r="L34" i="3" s="1"/>
  <c r="T34" i="3" s="1"/>
  <c r="K33" i="3"/>
  <c r="G33" i="3"/>
  <c r="G32" i="3"/>
  <c r="G31" i="3"/>
  <c r="L31" i="3" s="1"/>
  <c r="T30" i="3"/>
  <c r="G30" i="3"/>
  <c r="K30" i="3" s="1"/>
  <c r="U30" i="3" s="1"/>
  <c r="X30" i="3" s="1"/>
  <c r="M29" i="3"/>
  <c r="L29" i="3"/>
  <c r="G29" i="3"/>
  <c r="K29" i="3" s="1"/>
  <c r="M28" i="3"/>
  <c r="K28" i="3"/>
  <c r="G28" i="3"/>
  <c r="L28" i="3" s="1"/>
  <c r="T28" i="3" s="1"/>
  <c r="M27" i="3"/>
  <c r="K27" i="3"/>
  <c r="G27" i="3"/>
  <c r="L27" i="3" s="1"/>
  <c r="T27" i="3" s="1"/>
  <c r="T26" i="3"/>
  <c r="G26" i="3"/>
  <c r="K26" i="3" s="1"/>
  <c r="S25" i="3"/>
  <c r="S110" i="3" s="1"/>
  <c r="M25" i="3"/>
  <c r="K25" i="3"/>
  <c r="G25" i="3"/>
  <c r="L25" i="3" s="1"/>
  <c r="T25" i="3" s="1"/>
  <c r="U25" i="3" s="1"/>
  <c r="X25" i="3" s="1"/>
  <c r="T24" i="3"/>
  <c r="G24" i="3"/>
  <c r="K24" i="3" s="1"/>
  <c r="U24" i="3" s="1"/>
  <c r="X24" i="3" s="1"/>
  <c r="G23" i="3"/>
  <c r="M23" i="3" s="1"/>
  <c r="L22" i="3"/>
  <c r="T22" i="3" s="1"/>
  <c r="K22" i="3"/>
  <c r="G22" i="3"/>
  <c r="M22" i="3" s="1"/>
  <c r="T21" i="3"/>
  <c r="G21" i="3"/>
  <c r="K21" i="3" s="1"/>
  <c r="K20" i="3"/>
  <c r="G20" i="3"/>
  <c r="M20" i="3" s="1"/>
  <c r="G19" i="3"/>
  <c r="K19" i="3" s="1"/>
  <c r="G18" i="3"/>
  <c r="M18" i="3" s="1"/>
  <c r="G17" i="3"/>
  <c r="M17" i="3" s="1"/>
  <c r="T16" i="3"/>
  <c r="G16" i="3"/>
  <c r="K16" i="3" s="1"/>
  <c r="U16" i="3" s="1"/>
  <c r="X16" i="3" s="1"/>
  <c r="T15" i="3"/>
  <c r="G15" i="3"/>
  <c r="K15" i="3" s="1"/>
  <c r="U15" i="3" s="1"/>
  <c r="X15" i="3" s="1"/>
  <c r="T14" i="3"/>
  <c r="K14" i="3"/>
  <c r="U14" i="3" s="1"/>
  <c r="X14" i="3" s="1"/>
  <c r="G14" i="3"/>
  <c r="K13" i="3"/>
  <c r="G13" i="3"/>
  <c r="G12" i="3"/>
  <c r="M11" i="3"/>
  <c r="L11" i="3"/>
  <c r="G11" i="3"/>
  <c r="K11" i="3" s="1"/>
  <c r="M10" i="3"/>
  <c r="L10" i="3"/>
  <c r="T10" i="3" s="1"/>
  <c r="G10" i="3"/>
  <c r="K10" i="3" s="1"/>
  <c r="K9" i="3"/>
  <c r="G9" i="3"/>
  <c r="L9" i="3" s="1"/>
  <c r="G8" i="3"/>
  <c r="K8" i="3" s="1"/>
  <c r="G7" i="3"/>
  <c r="K7" i="3" s="1"/>
  <c r="M6" i="3"/>
  <c r="L6" i="3"/>
  <c r="K6" i="3"/>
  <c r="G6" i="3"/>
  <c r="M5" i="3"/>
  <c r="L5" i="3"/>
  <c r="T5" i="3" s="1"/>
  <c r="G5" i="3"/>
  <c r="M4" i="3"/>
  <c r="T4" i="3" s="1"/>
  <c r="L4" i="3"/>
  <c r="K4" i="3"/>
  <c r="U4" i="3" s="1"/>
  <c r="C208" i="2"/>
  <c r="C188" i="2"/>
  <c r="C183" i="2"/>
  <c r="C181" i="2"/>
  <c r="O120" i="2"/>
  <c r="W116" i="2"/>
  <c r="V116" i="2"/>
  <c r="R116" i="2"/>
  <c r="Q116" i="2"/>
  <c r="P116" i="2"/>
  <c r="O116" i="2"/>
  <c r="N116" i="2"/>
  <c r="I116" i="2"/>
  <c r="E116" i="2"/>
  <c r="T115" i="2"/>
  <c r="U115" i="2" s="1"/>
  <c r="X115" i="2" s="1"/>
  <c r="G115" i="2"/>
  <c r="J115" i="2" s="1"/>
  <c r="K115" i="2" s="1"/>
  <c r="L114" i="2"/>
  <c r="K114" i="2"/>
  <c r="G114" i="2"/>
  <c r="M114" i="2" s="1"/>
  <c r="H113" i="2"/>
  <c r="K113" i="2" s="1"/>
  <c r="G113" i="2"/>
  <c r="M113" i="2" s="1"/>
  <c r="H112" i="2"/>
  <c r="K112" i="2" s="1"/>
  <c r="G112" i="2"/>
  <c r="M112" i="2" s="1"/>
  <c r="T111" i="2"/>
  <c r="J111" i="2"/>
  <c r="K111" i="2" s="1"/>
  <c r="U111" i="2" s="1"/>
  <c r="X111" i="2" s="1"/>
  <c r="G111" i="2"/>
  <c r="G110" i="2"/>
  <c r="G109" i="2"/>
  <c r="J109" i="2" s="1"/>
  <c r="K109" i="2" s="1"/>
  <c r="H108" i="2"/>
  <c r="G108" i="2"/>
  <c r="L108" i="2" s="1"/>
  <c r="T108" i="2" s="1"/>
  <c r="G107" i="2"/>
  <c r="G106" i="2"/>
  <c r="M105" i="2"/>
  <c r="G105" i="2"/>
  <c r="M104" i="2"/>
  <c r="L104" i="2"/>
  <c r="T104" i="2" s="1"/>
  <c r="K104" i="2"/>
  <c r="G104" i="2"/>
  <c r="G103" i="2"/>
  <c r="M103" i="2" s="1"/>
  <c r="K102" i="2"/>
  <c r="G102" i="2"/>
  <c r="L102" i="2" s="1"/>
  <c r="G101" i="2"/>
  <c r="L100" i="2"/>
  <c r="T100" i="2" s="1"/>
  <c r="G100" i="2"/>
  <c r="J100" i="2" s="1"/>
  <c r="K100" i="2" s="1"/>
  <c r="U100" i="2" s="1"/>
  <c r="X100" i="2" s="1"/>
  <c r="L99" i="2"/>
  <c r="T99" i="2" s="1"/>
  <c r="U99" i="2" s="1"/>
  <c r="X99" i="2" s="1"/>
  <c r="J99" i="2"/>
  <c r="K99" i="2" s="1"/>
  <c r="G99" i="2"/>
  <c r="M99" i="2" s="1"/>
  <c r="G98" i="2"/>
  <c r="M98" i="2" s="1"/>
  <c r="M97" i="2"/>
  <c r="T97" i="2" s="1"/>
  <c r="U97" i="2" s="1"/>
  <c r="X97" i="2" s="1"/>
  <c r="G97" i="2"/>
  <c r="K97" i="2" s="1"/>
  <c r="H96" i="2"/>
  <c r="G96" i="2"/>
  <c r="M96" i="2" s="1"/>
  <c r="L95" i="2"/>
  <c r="K95" i="2"/>
  <c r="G95" i="2"/>
  <c r="M95" i="2" s="1"/>
  <c r="G94" i="2"/>
  <c r="M94" i="2" s="1"/>
  <c r="H93" i="2"/>
  <c r="G93" i="2"/>
  <c r="T92" i="2"/>
  <c r="G92" i="2"/>
  <c r="J92" i="2" s="1"/>
  <c r="K92" i="2" s="1"/>
  <c r="U92" i="2" s="1"/>
  <c r="X92" i="2" s="1"/>
  <c r="T91" i="2"/>
  <c r="G91" i="2"/>
  <c r="J91" i="2" s="1"/>
  <c r="K91" i="2" s="1"/>
  <c r="T90" i="2"/>
  <c r="K90" i="2"/>
  <c r="G90" i="2"/>
  <c r="T89" i="2"/>
  <c r="G89" i="2"/>
  <c r="K89" i="2" s="1"/>
  <c r="U89" i="2" s="1"/>
  <c r="X89" i="2" s="1"/>
  <c r="T88" i="2"/>
  <c r="G88" i="2"/>
  <c r="K88" i="2" s="1"/>
  <c r="U88" i="2" s="1"/>
  <c r="X88" i="2" s="1"/>
  <c r="H87" i="2"/>
  <c r="G87" i="2"/>
  <c r="M87" i="2" s="1"/>
  <c r="M86" i="2"/>
  <c r="G86" i="2"/>
  <c r="K86" i="2" s="1"/>
  <c r="M85" i="2"/>
  <c r="L85" i="2"/>
  <c r="K85" i="2"/>
  <c r="G85" i="2"/>
  <c r="L84" i="2"/>
  <c r="T84" i="2" s="1"/>
  <c r="H84" i="2"/>
  <c r="K84" i="2" s="1"/>
  <c r="G84" i="2"/>
  <c r="M84" i="2" s="1"/>
  <c r="T83" i="2"/>
  <c r="G83" i="2"/>
  <c r="K83" i="2" s="1"/>
  <c r="U83" i="2" s="1"/>
  <c r="X83" i="2" s="1"/>
  <c r="T82" i="2"/>
  <c r="G82" i="2"/>
  <c r="J82" i="2" s="1"/>
  <c r="K82" i="2" s="1"/>
  <c r="U82" i="2" s="1"/>
  <c r="X82" i="2" s="1"/>
  <c r="T81" i="2"/>
  <c r="K81" i="2"/>
  <c r="G81" i="2"/>
  <c r="J81" i="2" s="1"/>
  <c r="M80" i="2"/>
  <c r="L80" i="2"/>
  <c r="K80" i="2"/>
  <c r="G80" i="2"/>
  <c r="J80" i="2" s="1"/>
  <c r="AA79" i="2"/>
  <c r="T79" i="2"/>
  <c r="G79" i="2"/>
  <c r="K79" i="2" s="1"/>
  <c r="T78" i="2"/>
  <c r="K78" i="2"/>
  <c r="U78" i="2" s="1"/>
  <c r="X78" i="2" s="1"/>
  <c r="G78" i="2"/>
  <c r="AA77" i="2"/>
  <c r="T77" i="2"/>
  <c r="J77" i="2"/>
  <c r="K77" i="2" s="1"/>
  <c r="U77" i="2" s="1"/>
  <c r="X77" i="2" s="1"/>
  <c r="G77" i="2"/>
  <c r="T76" i="2"/>
  <c r="K76" i="2"/>
  <c r="U76" i="2" s="1"/>
  <c r="X76" i="2" s="1"/>
  <c r="G76" i="2"/>
  <c r="K75" i="2"/>
  <c r="G75" i="2"/>
  <c r="M75" i="2" s="1"/>
  <c r="M74" i="2"/>
  <c r="G74" i="2"/>
  <c r="L74" i="2" s="1"/>
  <c r="H73" i="2"/>
  <c r="G73" i="2"/>
  <c r="H72" i="2"/>
  <c r="G72" i="2"/>
  <c r="K72" i="2" s="1"/>
  <c r="T71" i="2"/>
  <c r="J71" i="2"/>
  <c r="K71" i="2" s="1"/>
  <c r="U71" i="2" s="1"/>
  <c r="X71" i="2" s="1"/>
  <c r="G71" i="2"/>
  <c r="T70" i="2"/>
  <c r="G70" i="2"/>
  <c r="K70" i="2" s="1"/>
  <c r="T69" i="2"/>
  <c r="J69" i="2"/>
  <c r="K69" i="2" s="1"/>
  <c r="U69" i="2" s="1"/>
  <c r="X69" i="2" s="1"/>
  <c r="G69" i="2"/>
  <c r="T68" i="2"/>
  <c r="G68" i="2"/>
  <c r="K68" i="2" s="1"/>
  <c r="U68" i="2" s="1"/>
  <c r="X68" i="2" s="1"/>
  <c r="T67" i="2"/>
  <c r="J67" i="2"/>
  <c r="K67" i="2" s="1"/>
  <c r="U67" i="2" s="1"/>
  <c r="X67" i="2" s="1"/>
  <c r="G67" i="2"/>
  <c r="L67" i="2" s="1"/>
  <c r="M66" i="2"/>
  <c r="H66" i="2"/>
  <c r="G66" i="2"/>
  <c r="L66" i="2" s="1"/>
  <c r="T65" i="2"/>
  <c r="K65" i="2"/>
  <c r="U65" i="2" s="1"/>
  <c r="X65" i="2" s="1"/>
  <c r="H65" i="2"/>
  <c r="G65" i="2"/>
  <c r="J65" i="2" s="1"/>
  <c r="G64" i="2"/>
  <c r="K64" i="2" s="1"/>
  <c r="G63" i="2"/>
  <c r="M63" i="2" s="1"/>
  <c r="G62" i="2"/>
  <c r="M62" i="2" s="1"/>
  <c r="H61" i="2"/>
  <c r="K61" i="2" s="1"/>
  <c r="G61" i="2"/>
  <c r="L61" i="2" s="1"/>
  <c r="M60" i="2"/>
  <c r="G60" i="2"/>
  <c r="L60" i="2" s="1"/>
  <c r="H59" i="2"/>
  <c r="G59" i="2"/>
  <c r="T58" i="2"/>
  <c r="H58" i="2"/>
  <c r="G58" i="2"/>
  <c r="T57" i="2"/>
  <c r="H57" i="2"/>
  <c r="G57" i="2"/>
  <c r="L57" i="2" s="1"/>
  <c r="M56" i="2"/>
  <c r="H56" i="2"/>
  <c r="K56" i="2" s="1"/>
  <c r="G56" i="2"/>
  <c r="L56" i="2" s="1"/>
  <c r="M55" i="2"/>
  <c r="G55" i="2"/>
  <c r="L55" i="2" s="1"/>
  <c r="K54" i="2"/>
  <c r="G54" i="2"/>
  <c r="L54" i="2" s="1"/>
  <c r="T54" i="2" s="1"/>
  <c r="K53" i="2"/>
  <c r="G53" i="2"/>
  <c r="M53" i="2" s="1"/>
  <c r="T52" i="2"/>
  <c r="G52" i="2"/>
  <c r="K52" i="2" s="1"/>
  <c r="U51" i="2"/>
  <c r="X51" i="2" s="1"/>
  <c r="G51" i="2"/>
  <c r="K51" i="2" s="1"/>
  <c r="L50" i="2"/>
  <c r="K50" i="2"/>
  <c r="G50" i="2"/>
  <c r="M50" i="2" s="1"/>
  <c r="T49" i="2"/>
  <c r="G49" i="2"/>
  <c r="K49" i="2" s="1"/>
  <c r="G48" i="2"/>
  <c r="M48" i="2" s="1"/>
  <c r="G47" i="2"/>
  <c r="M47" i="2" s="1"/>
  <c r="G46" i="2"/>
  <c r="K46" i="2" s="1"/>
  <c r="L46" i="2" s="1"/>
  <c r="G45" i="2"/>
  <c r="L44" i="2"/>
  <c r="K44" i="2"/>
  <c r="G44" i="2"/>
  <c r="M44" i="2" s="1"/>
  <c r="K43" i="2"/>
  <c r="G43" i="2"/>
  <c r="L43" i="2" s="1"/>
  <c r="M42" i="2"/>
  <c r="L42" i="2"/>
  <c r="J42" i="2"/>
  <c r="G42" i="2"/>
  <c r="L41" i="2"/>
  <c r="G41" i="2"/>
  <c r="M40" i="2"/>
  <c r="L40" i="2"/>
  <c r="K40" i="2"/>
  <c r="G40" i="2"/>
  <c r="T39" i="2"/>
  <c r="G39" i="2"/>
  <c r="K39" i="2" s="1"/>
  <c r="T38" i="2"/>
  <c r="K38" i="2"/>
  <c r="U38" i="2" s="1"/>
  <c r="X38" i="2" s="1"/>
  <c r="G38" i="2"/>
  <c r="L37" i="2"/>
  <c r="G37" i="2"/>
  <c r="M36" i="2"/>
  <c r="L36" i="2"/>
  <c r="K36" i="2"/>
  <c r="G36" i="2"/>
  <c r="G35" i="2"/>
  <c r="M34" i="2"/>
  <c r="K34" i="2"/>
  <c r="L34" i="2" s="1"/>
  <c r="G34" i="2"/>
  <c r="G33" i="2"/>
  <c r="G32" i="2"/>
  <c r="L32" i="2" s="1"/>
  <c r="T31" i="2"/>
  <c r="G31" i="2"/>
  <c r="K31" i="2" s="1"/>
  <c r="T30" i="2"/>
  <c r="K30" i="2"/>
  <c r="U30" i="2" s="1"/>
  <c r="X30" i="2" s="1"/>
  <c r="G30" i="2"/>
  <c r="M29" i="2"/>
  <c r="L29" i="2"/>
  <c r="T29" i="2" s="1"/>
  <c r="G29" i="2"/>
  <c r="K29" i="2" s="1"/>
  <c r="L28" i="2"/>
  <c r="K28" i="2"/>
  <c r="G28" i="2"/>
  <c r="M28" i="2" s="1"/>
  <c r="M27" i="2"/>
  <c r="L27" i="2"/>
  <c r="T27" i="2" s="1"/>
  <c r="K27" i="2"/>
  <c r="G27" i="2"/>
  <c r="G26" i="2"/>
  <c r="M26" i="2" s="1"/>
  <c r="S25" i="2"/>
  <c r="S116" i="2" s="1"/>
  <c r="G25" i="2"/>
  <c r="M25" i="2" s="1"/>
  <c r="T24" i="2"/>
  <c r="G24" i="2"/>
  <c r="K24" i="2" s="1"/>
  <c r="U24" i="2" s="1"/>
  <c r="X24" i="2" s="1"/>
  <c r="G23" i="2"/>
  <c r="M23" i="2" s="1"/>
  <c r="M22" i="2"/>
  <c r="G22" i="2"/>
  <c r="L22" i="2" s="1"/>
  <c r="T21" i="2"/>
  <c r="G21" i="2"/>
  <c r="K21" i="2" s="1"/>
  <c r="M20" i="2"/>
  <c r="G20" i="2"/>
  <c r="L20" i="2" s="1"/>
  <c r="T20" i="2" s="1"/>
  <c r="M19" i="2"/>
  <c r="L19" i="2"/>
  <c r="G19" i="2"/>
  <c r="K19" i="2" s="1"/>
  <c r="L18" i="2"/>
  <c r="T18" i="2" s="1"/>
  <c r="K18" i="2"/>
  <c r="G18" i="2"/>
  <c r="M18" i="2" s="1"/>
  <c r="G17" i="2"/>
  <c r="M17" i="2" s="1"/>
  <c r="T16" i="2"/>
  <c r="K16" i="2"/>
  <c r="G16" i="2"/>
  <c r="T15" i="2"/>
  <c r="K15" i="2"/>
  <c r="G15" i="2"/>
  <c r="T14" i="2"/>
  <c r="G14" i="2"/>
  <c r="K14" i="2" s="1"/>
  <c r="U14" i="2" s="1"/>
  <c r="X14" i="2" s="1"/>
  <c r="M13" i="2"/>
  <c r="L13" i="2"/>
  <c r="G13" i="2"/>
  <c r="K13" i="2" s="1"/>
  <c r="L12" i="2"/>
  <c r="T12" i="2" s="1"/>
  <c r="K12" i="2"/>
  <c r="G12" i="2"/>
  <c r="M12" i="2" s="1"/>
  <c r="M11" i="2"/>
  <c r="L11" i="2"/>
  <c r="T11" i="2" s="1"/>
  <c r="G11" i="2"/>
  <c r="K11" i="2" s="1"/>
  <c r="M10" i="2"/>
  <c r="L10" i="2"/>
  <c r="G10" i="2"/>
  <c r="K10" i="2" s="1"/>
  <c r="K9" i="2"/>
  <c r="G9" i="2"/>
  <c r="M9" i="2" s="1"/>
  <c r="G8" i="2"/>
  <c r="K8" i="2" s="1"/>
  <c r="M8" i="2" s="1"/>
  <c r="G7" i="2"/>
  <c r="K7" i="2" s="1"/>
  <c r="M6" i="2"/>
  <c r="T6" i="2" s="1"/>
  <c r="L6" i="2"/>
  <c r="K6" i="2"/>
  <c r="M5" i="2"/>
  <c r="L5" i="2"/>
  <c r="G5" i="2"/>
  <c r="K5" i="2" s="1"/>
  <c r="T4" i="2"/>
  <c r="M4" i="2"/>
  <c r="L4" i="2"/>
  <c r="K4" i="2"/>
  <c r="C207" i="1"/>
  <c r="C187" i="1"/>
  <c r="C180" i="1"/>
  <c r="C182" i="1" s="1"/>
  <c r="W115" i="1"/>
  <c r="V115" i="1"/>
  <c r="S115" i="1"/>
  <c r="R115" i="1"/>
  <c r="Q115" i="1"/>
  <c r="P115" i="1"/>
  <c r="O115" i="1"/>
  <c r="N115" i="1"/>
  <c r="I115" i="1"/>
  <c r="E115" i="1"/>
  <c r="T114" i="1"/>
  <c r="K114" i="1"/>
  <c r="U114" i="1" s="1"/>
  <c r="X114" i="1" s="1"/>
  <c r="G114" i="1"/>
  <c r="J114" i="1" s="1"/>
  <c r="M113" i="1"/>
  <c r="L113" i="1"/>
  <c r="T113" i="1" s="1"/>
  <c r="K113" i="1"/>
  <c r="U113" i="1" s="1"/>
  <c r="X113" i="1" s="1"/>
  <c r="G113" i="1"/>
  <c r="H112" i="1"/>
  <c r="G112" i="1"/>
  <c r="M112" i="1" s="1"/>
  <c r="H111" i="1"/>
  <c r="G111" i="1"/>
  <c r="M111" i="1" s="1"/>
  <c r="U110" i="1"/>
  <c r="X110" i="1" s="1"/>
  <c r="T110" i="1"/>
  <c r="G110" i="1"/>
  <c r="J110" i="1" s="1"/>
  <c r="K110" i="1" s="1"/>
  <c r="M109" i="1"/>
  <c r="L109" i="1"/>
  <c r="H109" i="1"/>
  <c r="G109" i="1"/>
  <c r="K109" i="1" s="1"/>
  <c r="T108" i="1"/>
  <c r="H108" i="1"/>
  <c r="G108" i="1"/>
  <c r="H107" i="1"/>
  <c r="G107" i="1"/>
  <c r="M107" i="1" s="1"/>
  <c r="G106" i="1"/>
  <c r="L105" i="1"/>
  <c r="H105" i="1"/>
  <c r="G105" i="1"/>
  <c r="M105" i="1" s="1"/>
  <c r="G104" i="1"/>
  <c r="G103" i="1"/>
  <c r="M103" i="1" s="1"/>
  <c r="L102" i="1"/>
  <c r="H102" i="1"/>
  <c r="G102" i="1"/>
  <c r="G101" i="1"/>
  <c r="K101" i="1" s="1"/>
  <c r="M100" i="1"/>
  <c r="L100" i="1"/>
  <c r="T100" i="1" s="1"/>
  <c r="K100" i="1"/>
  <c r="U100" i="1" s="1"/>
  <c r="X100" i="1" s="1"/>
  <c r="G100" i="1"/>
  <c r="G99" i="1"/>
  <c r="L98" i="1"/>
  <c r="T98" i="1" s="1"/>
  <c r="G98" i="1"/>
  <c r="K98" i="1" s="1"/>
  <c r="T97" i="1"/>
  <c r="G97" i="1"/>
  <c r="J97" i="1" s="1"/>
  <c r="K97" i="1" s="1"/>
  <c r="U97" i="1" s="1"/>
  <c r="X97" i="1" s="1"/>
  <c r="M96" i="1"/>
  <c r="G96" i="1"/>
  <c r="M95" i="1"/>
  <c r="T95" i="1" s="1"/>
  <c r="K95" i="1"/>
  <c r="U95" i="1" s="1"/>
  <c r="X95" i="1" s="1"/>
  <c r="G95" i="1"/>
  <c r="H94" i="1"/>
  <c r="G94" i="1"/>
  <c r="M94" i="1" s="1"/>
  <c r="G93" i="1"/>
  <c r="K93" i="1" s="1"/>
  <c r="G92" i="1"/>
  <c r="M91" i="1"/>
  <c r="H91" i="1"/>
  <c r="G91" i="1"/>
  <c r="K91" i="1" s="1"/>
  <c r="T90" i="1"/>
  <c r="G90" i="1"/>
  <c r="J90" i="1" s="1"/>
  <c r="K90" i="1" s="1"/>
  <c r="U90" i="1" s="1"/>
  <c r="X90" i="1" s="1"/>
  <c r="T89" i="1"/>
  <c r="G89" i="1"/>
  <c r="J89" i="1" s="1"/>
  <c r="K89" i="1" s="1"/>
  <c r="T88" i="1"/>
  <c r="G88" i="1"/>
  <c r="K88" i="1" s="1"/>
  <c r="U88" i="1" s="1"/>
  <c r="X88" i="1" s="1"/>
  <c r="T87" i="1"/>
  <c r="G87" i="1"/>
  <c r="J87" i="1" s="1"/>
  <c r="K87" i="1" s="1"/>
  <c r="T86" i="1"/>
  <c r="G86" i="1"/>
  <c r="K86" i="1" s="1"/>
  <c r="U86" i="1" s="1"/>
  <c r="X86" i="1" s="1"/>
  <c r="M85" i="1"/>
  <c r="H85" i="1"/>
  <c r="G85" i="1"/>
  <c r="M84" i="1"/>
  <c r="L84" i="1"/>
  <c r="T84" i="1" s="1"/>
  <c r="G84" i="1"/>
  <c r="K84" i="1" s="1"/>
  <c r="M83" i="1"/>
  <c r="L83" i="1"/>
  <c r="T83" i="1" s="1"/>
  <c r="K83" i="1"/>
  <c r="U83" i="1" s="1"/>
  <c r="X83" i="1" s="1"/>
  <c r="G83" i="1"/>
  <c r="H82" i="1"/>
  <c r="G82" i="1"/>
  <c r="M82" i="1" s="1"/>
  <c r="T81" i="1"/>
  <c r="H81" i="1"/>
  <c r="G81" i="1"/>
  <c r="K81" i="1" s="1"/>
  <c r="U81" i="1" s="1"/>
  <c r="X81" i="1" s="1"/>
  <c r="T80" i="1"/>
  <c r="G80" i="1"/>
  <c r="T79" i="1"/>
  <c r="G79" i="1"/>
  <c r="J79" i="1" s="1"/>
  <c r="K79" i="1" s="1"/>
  <c r="M78" i="1"/>
  <c r="L78" i="1"/>
  <c r="T78" i="1" s="1"/>
  <c r="G78" i="1"/>
  <c r="J78" i="1" s="1"/>
  <c r="K78" i="1" s="1"/>
  <c r="AA77" i="1"/>
  <c r="T77" i="1"/>
  <c r="G77" i="1"/>
  <c r="K77" i="1" s="1"/>
  <c r="U77" i="1" s="1"/>
  <c r="X77" i="1" s="1"/>
  <c r="K76" i="1"/>
  <c r="G76" i="1"/>
  <c r="T75" i="1"/>
  <c r="K75" i="1"/>
  <c r="G75" i="1"/>
  <c r="AA74" i="1"/>
  <c r="T74" i="1"/>
  <c r="J74" i="1"/>
  <c r="K74" i="1" s="1"/>
  <c r="U74" i="1" s="1"/>
  <c r="X74" i="1" s="1"/>
  <c r="G74" i="1"/>
  <c r="T73" i="1"/>
  <c r="G73" i="1"/>
  <c r="K73" i="1" s="1"/>
  <c r="U73" i="1" s="1"/>
  <c r="X73" i="1" s="1"/>
  <c r="G72" i="1"/>
  <c r="G71" i="1"/>
  <c r="K71" i="1" s="1"/>
  <c r="H70" i="1"/>
  <c r="G70" i="1"/>
  <c r="M70" i="1" s="1"/>
  <c r="H69" i="1"/>
  <c r="G69" i="1"/>
  <c r="M69" i="1" s="1"/>
  <c r="T68" i="1"/>
  <c r="G68" i="1"/>
  <c r="J68" i="1" s="1"/>
  <c r="K68" i="1" s="1"/>
  <c r="U68" i="1" s="1"/>
  <c r="X68" i="1" s="1"/>
  <c r="T67" i="1"/>
  <c r="K67" i="1"/>
  <c r="G67" i="1"/>
  <c r="T66" i="1"/>
  <c r="U66" i="1" s="1"/>
  <c r="X66" i="1" s="1"/>
  <c r="G66" i="1"/>
  <c r="J66" i="1" s="1"/>
  <c r="K66" i="1" s="1"/>
  <c r="T65" i="1"/>
  <c r="K65" i="1"/>
  <c r="U65" i="1" s="1"/>
  <c r="X65" i="1" s="1"/>
  <c r="G65" i="1"/>
  <c r="G64" i="1"/>
  <c r="J64" i="1" s="1"/>
  <c r="K64" i="1" s="1"/>
  <c r="G63" i="1"/>
  <c r="M63" i="1" s="1"/>
  <c r="T62" i="1"/>
  <c r="H62" i="1"/>
  <c r="G62" i="1"/>
  <c r="J62" i="1" s="1"/>
  <c r="M61" i="1"/>
  <c r="G61" i="1"/>
  <c r="G60" i="1"/>
  <c r="K60" i="1" s="1"/>
  <c r="L59" i="1"/>
  <c r="K59" i="1"/>
  <c r="G59" i="1"/>
  <c r="M59" i="1" s="1"/>
  <c r="H58" i="1"/>
  <c r="K58" i="1" s="1"/>
  <c r="G58" i="1"/>
  <c r="M58" i="1" s="1"/>
  <c r="G57" i="1"/>
  <c r="H56" i="1"/>
  <c r="K56" i="1" s="1"/>
  <c r="G56" i="1"/>
  <c r="L56" i="1" s="1"/>
  <c r="T55" i="1"/>
  <c r="H55" i="1"/>
  <c r="K55" i="1" s="1"/>
  <c r="G55" i="1"/>
  <c r="L54" i="1"/>
  <c r="T54" i="1" s="1"/>
  <c r="H54" i="1"/>
  <c r="K54" i="1" s="1"/>
  <c r="U54" i="1" s="1"/>
  <c r="X54" i="1" s="1"/>
  <c r="G54" i="1"/>
  <c r="H53" i="1"/>
  <c r="K53" i="1" s="1"/>
  <c r="G53" i="1"/>
  <c r="M53" i="1" s="1"/>
  <c r="H52" i="1"/>
  <c r="G52" i="1"/>
  <c r="L52" i="1" s="1"/>
  <c r="T52" i="1" s="1"/>
  <c r="T51" i="1"/>
  <c r="K51" i="1"/>
  <c r="M50" i="1"/>
  <c r="K50" i="1"/>
  <c r="G50" i="1"/>
  <c r="L50" i="1" s="1"/>
  <c r="T49" i="1"/>
  <c r="G49" i="1"/>
  <c r="K49" i="1" s="1"/>
  <c r="G48" i="1"/>
  <c r="L48" i="1" s="1"/>
  <c r="T47" i="1"/>
  <c r="G47" i="1"/>
  <c r="K47" i="1" s="1"/>
  <c r="U47" i="1" s="1"/>
  <c r="X47" i="1" s="1"/>
  <c r="T46" i="1"/>
  <c r="K46" i="1"/>
  <c r="G46" i="1"/>
  <c r="G45" i="1"/>
  <c r="G44" i="1"/>
  <c r="K44" i="1" s="1"/>
  <c r="K43" i="1"/>
  <c r="G43" i="1"/>
  <c r="M43" i="1" s="1"/>
  <c r="G42" i="1"/>
  <c r="L41" i="1"/>
  <c r="T41" i="1" s="1"/>
  <c r="K41" i="1"/>
  <c r="G41" i="1"/>
  <c r="M41" i="1" s="1"/>
  <c r="M40" i="1"/>
  <c r="L40" i="1"/>
  <c r="T40" i="1" s="1"/>
  <c r="G40" i="1"/>
  <c r="K39" i="1"/>
  <c r="G39" i="1"/>
  <c r="M39" i="1" s="1"/>
  <c r="G38" i="1"/>
  <c r="T37" i="1"/>
  <c r="K37" i="1"/>
  <c r="U37" i="1" s="1"/>
  <c r="X37" i="1" s="1"/>
  <c r="G37" i="1"/>
  <c r="T36" i="1"/>
  <c r="G36" i="1"/>
  <c r="K36" i="1" s="1"/>
  <c r="U36" i="1" s="1"/>
  <c r="X36" i="1" s="1"/>
  <c r="G35" i="1"/>
  <c r="M34" i="1"/>
  <c r="L34" i="1"/>
  <c r="T34" i="1" s="1"/>
  <c r="G34" i="1"/>
  <c r="K34" i="1" s="1"/>
  <c r="L33" i="1"/>
  <c r="K33" i="1"/>
  <c r="G33" i="1"/>
  <c r="M33" i="1" s="1"/>
  <c r="G32" i="1"/>
  <c r="K32" i="1" s="1"/>
  <c r="T31" i="1"/>
  <c r="G31" i="1"/>
  <c r="K31" i="1" s="1"/>
  <c r="U31" i="1" s="1"/>
  <c r="X31" i="1" s="1"/>
  <c r="G30" i="1"/>
  <c r="M30" i="1" s="1"/>
  <c r="T29" i="1"/>
  <c r="G29" i="1"/>
  <c r="K29" i="1" s="1"/>
  <c r="U29" i="1" s="1"/>
  <c r="X29" i="1" s="1"/>
  <c r="T28" i="1"/>
  <c r="G28" i="1"/>
  <c r="K28" i="1" s="1"/>
  <c r="M27" i="1"/>
  <c r="L27" i="1"/>
  <c r="T27" i="1" s="1"/>
  <c r="K27" i="1"/>
  <c r="G27" i="1"/>
  <c r="G26" i="1"/>
  <c r="M26" i="1" s="1"/>
  <c r="M25" i="1"/>
  <c r="K25" i="1"/>
  <c r="G25" i="1"/>
  <c r="L25" i="1" s="1"/>
  <c r="M24" i="1"/>
  <c r="L24" i="1"/>
  <c r="T24" i="1" s="1"/>
  <c r="G24" i="1"/>
  <c r="K24" i="1" s="1"/>
  <c r="S23" i="1"/>
  <c r="G23" i="1"/>
  <c r="K23" i="1" s="1"/>
  <c r="T22" i="1"/>
  <c r="K22" i="1"/>
  <c r="G22" i="1"/>
  <c r="M21" i="1"/>
  <c r="L21" i="1"/>
  <c r="T21" i="1" s="1"/>
  <c r="G21" i="1"/>
  <c r="K21" i="1" s="1"/>
  <c r="L20" i="1"/>
  <c r="K20" i="1"/>
  <c r="G20" i="1"/>
  <c r="M20" i="1" s="1"/>
  <c r="T19" i="1"/>
  <c r="G19" i="1"/>
  <c r="K19" i="1" s="1"/>
  <c r="U19" i="1" s="1"/>
  <c r="X19" i="1" s="1"/>
  <c r="L18" i="1"/>
  <c r="K18" i="1"/>
  <c r="G18" i="1"/>
  <c r="M18" i="1" s="1"/>
  <c r="G17" i="1"/>
  <c r="M17" i="1" s="1"/>
  <c r="G16" i="1"/>
  <c r="M16" i="1" s="1"/>
  <c r="T15" i="1"/>
  <c r="G15" i="1"/>
  <c r="K15" i="1" s="1"/>
  <c r="U15" i="1" s="1"/>
  <c r="X15" i="1" s="1"/>
  <c r="T14" i="1"/>
  <c r="G14" i="1"/>
  <c r="K14" i="1" s="1"/>
  <c r="U14" i="1" s="1"/>
  <c r="X14" i="1" s="1"/>
  <c r="T13" i="1"/>
  <c r="G13" i="1"/>
  <c r="K13" i="1" s="1"/>
  <c r="U13" i="1" s="1"/>
  <c r="X13" i="1" s="1"/>
  <c r="L12" i="1"/>
  <c r="K12" i="1"/>
  <c r="G12" i="1"/>
  <c r="M12" i="1" s="1"/>
  <c r="G11" i="1"/>
  <c r="M11" i="1" s="1"/>
  <c r="M10" i="1"/>
  <c r="L10" i="1"/>
  <c r="T10" i="1" s="1"/>
  <c r="G10" i="1"/>
  <c r="K10" i="1" s="1"/>
  <c r="M9" i="1"/>
  <c r="L9" i="1"/>
  <c r="G9" i="1"/>
  <c r="K9" i="1" s="1"/>
  <c r="G8" i="1"/>
  <c r="M8" i="1" s="1"/>
  <c r="K7" i="1"/>
  <c r="M7" i="1" s="1"/>
  <c r="G7" i="1"/>
  <c r="M6" i="1"/>
  <c r="L6" i="1"/>
  <c r="T6" i="1" s="1"/>
  <c r="G6" i="1"/>
  <c r="K6" i="1" s="1"/>
  <c r="M5" i="1"/>
  <c r="L5" i="1"/>
  <c r="T5" i="1" s="1"/>
  <c r="K5" i="1"/>
  <c r="G5" i="1"/>
  <c r="M4" i="1"/>
  <c r="L4" i="1"/>
  <c r="T4" i="1" s="1"/>
  <c r="K4" i="1"/>
  <c r="U23" i="4" l="1"/>
  <c r="X23" i="4" s="1"/>
  <c r="T6" i="4"/>
  <c r="U6" i="4" s="1"/>
  <c r="X6" i="4" s="1"/>
  <c r="L16" i="4"/>
  <c r="L21" i="4"/>
  <c r="T21" i="4" s="1"/>
  <c r="U21" i="4" s="1"/>
  <c r="X21" i="4" s="1"/>
  <c r="U39" i="4"/>
  <c r="X39" i="4" s="1"/>
  <c r="L40" i="4"/>
  <c r="T40" i="4" s="1"/>
  <c r="U40" i="4" s="1"/>
  <c r="X40" i="4" s="1"/>
  <c r="T49" i="4"/>
  <c r="U63" i="4"/>
  <c r="X63" i="4" s="1"/>
  <c r="L78" i="4"/>
  <c r="L79" i="4"/>
  <c r="T79" i="4" s="1"/>
  <c r="J84" i="4"/>
  <c r="K84" i="4" s="1"/>
  <c r="U84" i="4" s="1"/>
  <c r="X84" i="4" s="1"/>
  <c r="U88" i="4"/>
  <c r="X88" i="4" s="1"/>
  <c r="L91" i="4"/>
  <c r="M103" i="4"/>
  <c r="T103" i="4" s="1"/>
  <c r="U103" i="4" s="1"/>
  <c r="X103" i="4" s="1"/>
  <c r="L9" i="4"/>
  <c r="T9" i="4" s="1"/>
  <c r="U9" i="4" s="1"/>
  <c r="X9" i="4" s="1"/>
  <c r="U15" i="4"/>
  <c r="X15" i="4" s="1"/>
  <c r="M16" i="4"/>
  <c r="U25" i="4"/>
  <c r="X25" i="4" s="1"/>
  <c r="L29" i="4"/>
  <c r="K44" i="4"/>
  <c r="L53" i="4"/>
  <c r="T53" i="4" s="1"/>
  <c r="J62" i="4"/>
  <c r="K73" i="4"/>
  <c r="M78" i="4"/>
  <c r="L85" i="4"/>
  <c r="T97" i="4"/>
  <c r="U97" i="4" s="1"/>
  <c r="X97" i="4" s="1"/>
  <c r="U19" i="4"/>
  <c r="X19" i="4" s="1"/>
  <c r="U22" i="4"/>
  <c r="X22" i="4" s="1"/>
  <c r="U43" i="4"/>
  <c r="X43" i="4" s="1"/>
  <c r="Z43" i="4" s="1"/>
  <c r="U55" i="4"/>
  <c r="X55" i="4" s="1"/>
  <c r="K60" i="4"/>
  <c r="U60" i="4" s="1"/>
  <c r="X60" i="4" s="1"/>
  <c r="U64" i="4"/>
  <c r="X64" i="4" s="1"/>
  <c r="K67" i="4"/>
  <c r="U75" i="4"/>
  <c r="X75" i="4" s="1"/>
  <c r="K79" i="4"/>
  <c r="U83" i="4"/>
  <c r="X83" i="4" s="1"/>
  <c r="M85" i="4"/>
  <c r="L87" i="4"/>
  <c r="T87" i="4" s="1"/>
  <c r="U87" i="4" s="1"/>
  <c r="X87" i="4" s="1"/>
  <c r="T88" i="4"/>
  <c r="L90" i="4"/>
  <c r="K92" i="4"/>
  <c r="M93" i="4"/>
  <c r="T93" i="4" s="1"/>
  <c r="U93" i="4" s="1"/>
  <c r="X93" i="4" s="1"/>
  <c r="M97" i="4"/>
  <c r="T54" i="3"/>
  <c r="U54" i="3" s="1"/>
  <c r="X54" i="3" s="1"/>
  <c r="T6" i="3"/>
  <c r="K17" i="3"/>
  <c r="L20" i="3"/>
  <c r="T20" i="3" s="1"/>
  <c r="U20" i="3" s="1"/>
  <c r="X20" i="3" s="1"/>
  <c r="K23" i="3"/>
  <c r="T29" i="3"/>
  <c r="M31" i="3"/>
  <c r="K40" i="3"/>
  <c r="U40" i="3" s="1"/>
  <c r="X40" i="3" s="1"/>
  <c r="T41" i="3"/>
  <c r="L43" i="3"/>
  <c r="M44" i="3"/>
  <c r="T44" i="3" s="1"/>
  <c r="U44" i="3" s="1"/>
  <c r="X44" i="3" s="1"/>
  <c r="K47" i="3"/>
  <c r="M54" i="3"/>
  <c r="M58" i="3"/>
  <c r="K60" i="3"/>
  <c r="U60" i="3" s="1"/>
  <c r="X60" i="3" s="1"/>
  <c r="L70" i="3"/>
  <c r="T70" i="3" s="1"/>
  <c r="T72" i="3"/>
  <c r="U72" i="3" s="1"/>
  <c r="X72" i="3" s="1"/>
  <c r="K74" i="3"/>
  <c r="U74" i="3" s="1"/>
  <c r="X74" i="3" s="1"/>
  <c r="K82" i="3"/>
  <c r="U82" i="3" s="1"/>
  <c r="X82" i="3" s="1"/>
  <c r="M86" i="3"/>
  <c r="L89" i="3"/>
  <c r="L92" i="3"/>
  <c r="T92" i="3" s="1"/>
  <c r="K99" i="3"/>
  <c r="K104" i="3"/>
  <c r="U104" i="3" s="1"/>
  <c r="X104" i="3" s="1"/>
  <c r="K108" i="3"/>
  <c r="K109" i="3"/>
  <c r="L23" i="3"/>
  <c r="T23" i="3" s="1"/>
  <c r="U23" i="3" s="1"/>
  <c r="X23" i="3" s="1"/>
  <c r="U26" i="3"/>
  <c r="X26" i="3" s="1"/>
  <c r="L47" i="3"/>
  <c r="T47" i="3" s="1"/>
  <c r="M57" i="3"/>
  <c r="L60" i="3"/>
  <c r="T60" i="3" s="1"/>
  <c r="T71" i="3"/>
  <c r="L79" i="3"/>
  <c r="T79" i="3" s="1"/>
  <c r="L82" i="3"/>
  <c r="T82" i="3" s="1"/>
  <c r="T90" i="3"/>
  <c r="T94" i="3"/>
  <c r="M99" i="3"/>
  <c r="T99" i="3" s="1"/>
  <c r="M109" i="3"/>
  <c r="U21" i="3"/>
  <c r="X21" i="3" s="1"/>
  <c r="U27" i="3"/>
  <c r="X27" i="3" s="1"/>
  <c r="L17" i="3"/>
  <c r="T17" i="3" s="1"/>
  <c r="G110" i="3"/>
  <c r="U10" i="3"/>
  <c r="X10" i="3" s="1"/>
  <c r="U22" i="3"/>
  <c r="X22" i="3" s="1"/>
  <c r="U29" i="3"/>
  <c r="X29" i="3" s="1"/>
  <c r="T35" i="3"/>
  <c r="L39" i="3"/>
  <c r="T39" i="3" s="1"/>
  <c r="U39" i="3" s="1"/>
  <c r="X39" i="3" s="1"/>
  <c r="T58" i="3"/>
  <c r="U85" i="3"/>
  <c r="X85" i="3" s="1"/>
  <c r="T89" i="3"/>
  <c r="K90" i="3"/>
  <c r="U90" i="3" s="1"/>
  <c r="X90" i="3" s="1"/>
  <c r="K94" i="3"/>
  <c r="U94" i="3" s="1"/>
  <c r="X94" i="3" s="1"/>
  <c r="K95" i="3"/>
  <c r="K105" i="3"/>
  <c r="U85" i="2"/>
  <c r="X85" i="2" s="1"/>
  <c r="T28" i="2"/>
  <c r="T50" i="2"/>
  <c r="U50" i="2" s="1"/>
  <c r="X50" i="2" s="1"/>
  <c r="U75" i="2"/>
  <c r="X75" i="2" s="1"/>
  <c r="U4" i="2"/>
  <c r="L9" i="2"/>
  <c r="T9" i="2" s="1"/>
  <c r="U9" i="2" s="1"/>
  <c r="X9" i="2" s="1"/>
  <c r="T10" i="2"/>
  <c r="U15" i="2"/>
  <c r="X15" i="2" s="1"/>
  <c r="T22" i="2"/>
  <c r="K32" i="2"/>
  <c r="T42" i="2"/>
  <c r="M43" i="2"/>
  <c r="T43" i="2" s="1"/>
  <c r="U43" i="2" s="1"/>
  <c r="K47" i="2"/>
  <c r="K48" i="2"/>
  <c r="U52" i="2"/>
  <c r="X52" i="2" s="1"/>
  <c r="L53" i="2"/>
  <c r="T53" i="2" s="1"/>
  <c r="U53" i="2" s="1"/>
  <c r="X53" i="2" s="1"/>
  <c r="T56" i="2"/>
  <c r="U56" i="2" s="1"/>
  <c r="X56" i="2" s="1"/>
  <c r="K58" i="2"/>
  <c r="U58" i="2" s="1"/>
  <c r="X58" i="2" s="1"/>
  <c r="M61" i="2"/>
  <c r="K63" i="2"/>
  <c r="L64" i="2"/>
  <c r="T74" i="2"/>
  <c r="L75" i="2"/>
  <c r="T75" i="2" s="1"/>
  <c r="U90" i="2"/>
  <c r="X90" i="2" s="1"/>
  <c r="L94" i="2"/>
  <c r="T94" i="2" s="1"/>
  <c r="K96" i="2"/>
  <c r="K98" i="2"/>
  <c r="L103" i="2"/>
  <c r="T103" i="2" s="1"/>
  <c r="M109" i="2"/>
  <c r="T114" i="2"/>
  <c r="T95" i="2"/>
  <c r="U95" i="2" s="1"/>
  <c r="X95" i="2" s="1"/>
  <c r="U11" i="2"/>
  <c r="X11" i="2" s="1"/>
  <c r="U29" i="2"/>
  <c r="X29" i="2" s="1"/>
  <c r="M32" i="2"/>
  <c r="T32" i="2" s="1"/>
  <c r="L47" i="2"/>
  <c r="L48" i="2"/>
  <c r="T48" i="2" s="1"/>
  <c r="L63" i="2"/>
  <c r="T66" i="2"/>
  <c r="L72" i="2"/>
  <c r="U79" i="2"/>
  <c r="X79" i="2" s="1"/>
  <c r="U81" i="2"/>
  <c r="X81" i="2" s="1"/>
  <c r="L87" i="2"/>
  <c r="T87" i="2" s="1"/>
  <c r="U91" i="2"/>
  <c r="X91" i="2" s="1"/>
  <c r="J107" i="2"/>
  <c r="J116" i="2" s="1"/>
  <c r="K108" i="2"/>
  <c r="L112" i="2"/>
  <c r="L113" i="2"/>
  <c r="U10" i="2"/>
  <c r="X10" i="2" s="1"/>
  <c r="T13" i="2"/>
  <c r="U16" i="2"/>
  <c r="X16" i="2" s="1"/>
  <c r="T19" i="2"/>
  <c r="U21" i="2"/>
  <c r="X21" i="2" s="1"/>
  <c r="T61" i="2"/>
  <c r="U61" i="2" s="1"/>
  <c r="X61" i="2" s="1"/>
  <c r="K62" i="2"/>
  <c r="K66" i="2"/>
  <c r="U66" i="2" s="1"/>
  <c r="X66" i="2" s="1"/>
  <c r="U70" i="2"/>
  <c r="X70" i="2" s="1"/>
  <c r="U84" i="2"/>
  <c r="X84" i="2" s="1"/>
  <c r="T85" i="2"/>
  <c r="M32" i="1"/>
  <c r="L32" i="1"/>
  <c r="T32" i="1" s="1"/>
  <c r="U32" i="1" s="1"/>
  <c r="X32" i="1" s="1"/>
  <c r="K40" i="1"/>
  <c r="U40" i="1" s="1"/>
  <c r="X40" i="1" s="1"/>
  <c r="U59" i="1"/>
  <c r="X59" i="1" s="1"/>
  <c r="L44" i="1"/>
  <c r="M44" i="1"/>
  <c r="K108" i="1"/>
  <c r="U108" i="1" s="1"/>
  <c r="X108" i="1" s="1"/>
  <c r="K17" i="1"/>
  <c r="K48" i="1"/>
  <c r="T59" i="1"/>
  <c r="L64" i="1"/>
  <c r="T64" i="1" s="1"/>
  <c r="U64" i="1" s="1"/>
  <c r="X64" i="1" s="1"/>
  <c r="L71" i="1"/>
  <c r="K94" i="1"/>
  <c r="L101" i="1"/>
  <c r="T111" i="1"/>
  <c r="K8" i="1"/>
  <c r="T9" i="1"/>
  <c r="U9" i="1" s="1"/>
  <c r="X9" i="1" s="1"/>
  <c r="T25" i="1"/>
  <c r="U28" i="1"/>
  <c r="X28" i="1" s="1"/>
  <c r="J40" i="1"/>
  <c r="M48" i="1"/>
  <c r="T48" i="1" s="1"/>
  <c r="K52" i="1"/>
  <c r="U52" i="1" s="1"/>
  <c r="X52" i="1" s="1"/>
  <c r="L53" i="1"/>
  <c r="T53" i="1" s="1"/>
  <c r="U53" i="1" s="1"/>
  <c r="X53" i="1" s="1"/>
  <c r="L58" i="1"/>
  <c r="M60" i="1"/>
  <c r="L63" i="1"/>
  <c r="T63" i="1" s="1"/>
  <c r="K69" i="1"/>
  <c r="K70" i="1"/>
  <c r="M71" i="1"/>
  <c r="J80" i="1"/>
  <c r="K80" i="1" s="1"/>
  <c r="U80" i="1" s="1"/>
  <c r="X80" i="1" s="1"/>
  <c r="L82" i="1"/>
  <c r="T82" i="1" s="1"/>
  <c r="K85" i="1"/>
  <c r="L94" i="1"/>
  <c r="M101" i="1"/>
  <c r="J106" i="1"/>
  <c r="K106" i="1" s="1"/>
  <c r="K107" i="1"/>
  <c r="J108" i="1"/>
  <c r="K111" i="1"/>
  <c r="L112" i="1"/>
  <c r="U10" i="1"/>
  <c r="X10" i="1" s="1"/>
  <c r="T94" i="1"/>
  <c r="T112" i="1"/>
  <c r="K11" i="1"/>
  <c r="L60" i="1"/>
  <c r="T60" i="1" s="1"/>
  <c r="U60" i="1" s="1"/>
  <c r="X60" i="1" s="1"/>
  <c r="K63" i="1"/>
  <c r="U63" i="1" s="1"/>
  <c r="K82" i="1"/>
  <c r="T105" i="1"/>
  <c r="K112" i="1"/>
  <c r="U6" i="1"/>
  <c r="X6" i="1" s="1"/>
  <c r="L8" i="1"/>
  <c r="T8" i="1" s="1"/>
  <c r="U8" i="1" s="1"/>
  <c r="X8" i="1" s="1"/>
  <c r="U22" i="1"/>
  <c r="X22" i="1" s="1"/>
  <c r="U25" i="1"/>
  <c r="X25" i="1" s="1"/>
  <c r="U27" i="1"/>
  <c r="X27" i="1" s="1"/>
  <c r="U34" i="1"/>
  <c r="X34" i="1" s="1"/>
  <c r="U46" i="1"/>
  <c r="X46" i="1" s="1"/>
  <c r="T50" i="1"/>
  <c r="T58" i="1"/>
  <c r="U58" i="1" s="1"/>
  <c r="X58" i="1" s="1"/>
  <c r="L69" i="1"/>
  <c r="L70" i="1"/>
  <c r="U87" i="1"/>
  <c r="X87" i="1" s="1"/>
  <c r="K102" i="1"/>
  <c r="K105" i="1"/>
  <c r="U105" i="1" s="1"/>
  <c r="X105" i="1" s="1"/>
  <c r="L107" i="1"/>
  <c r="T107" i="1" s="1"/>
  <c r="U107" i="1" s="1"/>
  <c r="X107" i="1" s="1"/>
  <c r="L111" i="1"/>
  <c r="M31" i="4"/>
  <c r="L31" i="4"/>
  <c r="M7" i="4"/>
  <c r="L7" i="4"/>
  <c r="L8" i="4"/>
  <c r="T8" i="4" s="1"/>
  <c r="U8" i="4" s="1"/>
  <c r="X8" i="4" s="1"/>
  <c r="T4" i="4"/>
  <c r="M18" i="4"/>
  <c r="L18" i="4"/>
  <c r="T18" i="4" s="1"/>
  <c r="L41" i="4"/>
  <c r="K41" i="4"/>
  <c r="L50" i="4"/>
  <c r="K50" i="4"/>
  <c r="L80" i="4"/>
  <c r="K80" i="4"/>
  <c r="L17" i="4"/>
  <c r="T17" i="4" s="1"/>
  <c r="K17" i="4"/>
  <c r="K18" i="4"/>
  <c r="M38" i="4"/>
  <c r="L38" i="4"/>
  <c r="T38" i="4" s="1"/>
  <c r="M41" i="4"/>
  <c r="M50" i="4"/>
  <c r="K56" i="4"/>
  <c r="L56" i="4"/>
  <c r="J105" i="4"/>
  <c r="M80" i="4"/>
  <c r="L99" i="4"/>
  <c r="T99" i="4" s="1"/>
  <c r="U99" i="4" s="1"/>
  <c r="X99" i="4" s="1"/>
  <c r="U11" i="4"/>
  <c r="X11" i="4" s="1"/>
  <c r="M12" i="4"/>
  <c r="L12" i="4"/>
  <c r="M17" i="4"/>
  <c r="U29" i="4"/>
  <c r="X29" i="4" s="1"/>
  <c r="L30" i="4"/>
  <c r="T30" i="4" s="1"/>
  <c r="K30" i="4"/>
  <c r="K38" i="4"/>
  <c r="K62" i="4"/>
  <c r="U62" i="4" s="1"/>
  <c r="X62" i="4" s="1"/>
  <c r="L69" i="4"/>
  <c r="T69" i="4" s="1"/>
  <c r="K69" i="4"/>
  <c r="M69" i="4"/>
  <c r="T10" i="4"/>
  <c r="U10" i="4" s="1"/>
  <c r="X10" i="4" s="1"/>
  <c r="K12" i="4"/>
  <c r="U13" i="4"/>
  <c r="X13" i="4" s="1"/>
  <c r="M20" i="4"/>
  <c r="L20" i="4"/>
  <c r="T20" i="4" s="1"/>
  <c r="U20" i="4" s="1"/>
  <c r="X20" i="4" s="1"/>
  <c r="T27" i="4"/>
  <c r="U27" i="4" s="1"/>
  <c r="X27" i="4" s="1"/>
  <c r="T29" i="4"/>
  <c r="M30" i="4"/>
  <c r="U33" i="4"/>
  <c r="X33" i="4" s="1"/>
  <c r="U34" i="4"/>
  <c r="X34" i="4" s="1"/>
  <c r="L36" i="4"/>
  <c r="T36" i="4" s="1"/>
  <c r="K36" i="4"/>
  <c r="U37" i="4"/>
  <c r="X37" i="4" s="1"/>
  <c r="M42" i="4"/>
  <c r="L42" i="4"/>
  <c r="M56" i="4"/>
  <c r="T58" i="4"/>
  <c r="U58" i="4" s="1"/>
  <c r="X58" i="4" s="1"/>
  <c r="K68" i="4"/>
  <c r="M68" i="4"/>
  <c r="L68" i="4"/>
  <c r="M70" i="4"/>
  <c r="L70" i="4"/>
  <c r="L94" i="4"/>
  <c r="T94" i="4" s="1"/>
  <c r="K94" i="4"/>
  <c r="T44" i="4"/>
  <c r="U49" i="4"/>
  <c r="X49" i="4" s="1"/>
  <c r="M51" i="4"/>
  <c r="L51" i="4"/>
  <c r="E105" i="4"/>
  <c r="U98" i="4"/>
  <c r="X98" i="4" s="1"/>
  <c r="M101" i="4"/>
  <c r="L101" i="4"/>
  <c r="T101" i="4" s="1"/>
  <c r="U101" i="4" s="1"/>
  <c r="X101" i="4" s="1"/>
  <c r="K5" i="4"/>
  <c r="U5" i="4" s="1"/>
  <c r="X5" i="4" s="1"/>
  <c r="K51" i="4"/>
  <c r="H105" i="4"/>
  <c r="U53" i="4"/>
  <c r="X53" i="4" s="1"/>
  <c r="K54" i="4"/>
  <c r="U54" i="4" s="1"/>
  <c r="X54" i="4" s="1"/>
  <c r="L59" i="4"/>
  <c r="T59" i="4" s="1"/>
  <c r="K59" i="4"/>
  <c r="U59" i="4" s="1"/>
  <c r="X59" i="4" s="1"/>
  <c r="L65" i="4"/>
  <c r="T65" i="4" s="1"/>
  <c r="K65" i="4"/>
  <c r="U67" i="4"/>
  <c r="X67" i="4" s="1"/>
  <c r="U79" i="4"/>
  <c r="X79" i="4" s="1"/>
  <c r="T90" i="4"/>
  <c r="U90" i="4" s="1"/>
  <c r="X90" i="4" s="1"/>
  <c r="M95" i="4"/>
  <c r="L95" i="4"/>
  <c r="T95" i="4" s="1"/>
  <c r="U95" i="4" s="1"/>
  <c r="X95" i="4" s="1"/>
  <c r="U100" i="4"/>
  <c r="X100" i="4" s="1"/>
  <c r="L104" i="4"/>
  <c r="T104" i="4" s="1"/>
  <c r="K104" i="4"/>
  <c r="U104" i="4" s="1"/>
  <c r="X104" i="4" s="1"/>
  <c r="L61" i="4"/>
  <c r="T61" i="4" s="1"/>
  <c r="U61" i="4" s="1"/>
  <c r="X61" i="4" s="1"/>
  <c r="L73" i="4"/>
  <c r="T73" i="4" s="1"/>
  <c r="U73" i="4" s="1"/>
  <c r="X73" i="4" s="1"/>
  <c r="L76" i="4"/>
  <c r="T76" i="4" s="1"/>
  <c r="U76" i="4" s="1"/>
  <c r="X76" i="4" s="1"/>
  <c r="M91" i="4"/>
  <c r="T91" i="4" s="1"/>
  <c r="U91" i="4" s="1"/>
  <c r="X91" i="4" s="1"/>
  <c r="M92" i="4"/>
  <c r="T92" i="4" s="1"/>
  <c r="U92" i="4" s="1"/>
  <c r="X92" i="4" s="1"/>
  <c r="L7" i="3"/>
  <c r="T7" i="3" s="1"/>
  <c r="U7" i="3" s="1"/>
  <c r="X7" i="3" s="1"/>
  <c r="M7" i="3"/>
  <c r="X4" i="3"/>
  <c r="U6" i="3"/>
  <c r="X6" i="3" s="1"/>
  <c r="M33" i="3"/>
  <c r="L33" i="3"/>
  <c r="T33" i="3" s="1"/>
  <c r="K41" i="3"/>
  <c r="U41" i="3" s="1"/>
  <c r="X41" i="3" s="1"/>
  <c r="M46" i="3"/>
  <c r="L46" i="3"/>
  <c r="T46" i="3" s="1"/>
  <c r="K46" i="3"/>
  <c r="K5" i="3"/>
  <c r="L8" i="3"/>
  <c r="M13" i="3"/>
  <c r="L13" i="3"/>
  <c r="U17" i="3"/>
  <c r="X17" i="3" s="1"/>
  <c r="L18" i="3"/>
  <c r="T18" i="3" s="1"/>
  <c r="K18" i="3"/>
  <c r="U18" i="3" s="1"/>
  <c r="X18" i="3" s="1"/>
  <c r="U28" i="3"/>
  <c r="X28" i="3" s="1"/>
  <c r="M32" i="3"/>
  <c r="L32" i="3"/>
  <c r="K32" i="3"/>
  <c r="U33" i="3"/>
  <c r="X33" i="3" s="1"/>
  <c r="U58" i="3"/>
  <c r="X58" i="3" s="1"/>
  <c r="M8" i="3"/>
  <c r="L12" i="3"/>
  <c r="K12" i="3"/>
  <c r="M36" i="3"/>
  <c r="L36" i="3"/>
  <c r="K36" i="3"/>
  <c r="L45" i="3"/>
  <c r="K52" i="3"/>
  <c r="M52" i="3"/>
  <c r="L52" i="3"/>
  <c r="L55" i="3"/>
  <c r="T55" i="3" s="1"/>
  <c r="K55" i="3"/>
  <c r="M19" i="3"/>
  <c r="L19" i="3"/>
  <c r="T19" i="3" s="1"/>
  <c r="U19" i="3" s="1"/>
  <c r="X19" i="3" s="1"/>
  <c r="J65" i="3"/>
  <c r="K65" i="3" s="1"/>
  <c r="L65" i="3"/>
  <c r="T65" i="3" s="1"/>
  <c r="K81" i="3"/>
  <c r="M81" i="3"/>
  <c r="L81" i="3"/>
  <c r="M9" i="3"/>
  <c r="T9" i="3" s="1"/>
  <c r="U9" i="3" s="1"/>
  <c r="X9" i="3" s="1"/>
  <c r="T11" i="3"/>
  <c r="U11" i="3" s="1"/>
  <c r="X11" i="3" s="1"/>
  <c r="M12" i="3"/>
  <c r="T31" i="3"/>
  <c r="U34" i="3"/>
  <c r="X34" i="3" s="1"/>
  <c r="U35" i="3"/>
  <c r="X35" i="3" s="1"/>
  <c r="M38" i="3"/>
  <c r="L38" i="3"/>
  <c r="K38" i="3"/>
  <c r="M42" i="3"/>
  <c r="L42" i="3"/>
  <c r="K42" i="3"/>
  <c r="T43" i="3"/>
  <c r="U43" i="3" s="1"/>
  <c r="X43" i="3" s="1"/>
  <c r="M45" i="3"/>
  <c r="U47" i="3"/>
  <c r="X47" i="3" s="1"/>
  <c r="L59" i="3"/>
  <c r="T59" i="3" s="1"/>
  <c r="M59" i="3"/>
  <c r="K59" i="3"/>
  <c r="H110" i="3"/>
  <c r="U56" i="3"/>
  <c r="X56" i="3" s="1"/>
  <c r="U57" i="3"/>
  <c r="X57" i="3" s="1"/>
  <c r="T73" i="3"/>
  <c r="K31" i="3"/>
  <c r="K53" i="3"/>
  <c r="U53" i="3" s="1"/>
  <c r="X53" i="3" s="1"/>
  <c r="T61" i="3"/>
  <c r="U61" i="3" s="1"/>
  <c r="X61" i="3" s="1"/>
  <c r="M62" i="3"/>
  <c r="T62" i="3" s="1"/>
  <c r="K62" i="3"/>
  <c r="M64" i="3"/>
  <c r="T64" i="3" s="1"/>
  <c r="U64" i="3" s="1"/>
  <c r="X64" i="3" s="1"/>
  <c r="U83" i="3"/>
  <c r="X83" i="3" s="1"/>
  <c r="M98" i="3"/>
  <c r="L98" i="3"/>
  <c r="K98" i="3"/>
  <c r="M102" i="3"/>
  <c r="L102" i="3"/>
  <c r="T102" i="3" s="1"/>
  <c r="K102" i="3"/>
  <c r="U103" i="3"/>
  <c r="X103" i="3" s="1"/>
  <c r="T109" i="3"/>
  <c r="U109" i="3" s="1"/>
  <c r="X109" i="3" s="1"/>
  <c r="L57" i="3"/>
  <c r="T57" i="3" s="1"/>
  <c r="K73" i="3"/>
  <c r="U73" i="3" s="1"/>
  <c r="X73" i="3" s="1"/>
  <c r="U76" i="3"/>
  <c r="X76" i="3" s="1"/>
  <c r="U78" i="3"/>
  <c r="X78" i="3" s="1"/>
  <c r="T86" i="3"/>
  <c r="U86" i="3" s="1"/>
  <c r="X86" i="3" s="1"/>
  <c r="U92" i="3"/>
  <c r="X92" i="3" s="1"/>
  <c r="U93" i="3"/>
  <c r="X93" i="3" s="1"/>
  <c r="U97" i="3"/>
  <c r="X97" i="3" s="1"/>
  <c r="T101" i="3"/>
  <c r="U101" i="3" s="1"/>
  <c r="X101" i="3" s="1"/>
  <c r="T105" i="3"/>
  <c r="U105" i="3" s="1"/>
  <c r="X105" i="3" s="1"/>
  <c r="K70" i="3"/>
  <c r="U70" i="3" s="1"/>
  <c r="X70" i="3" s="1"/>
  <c r="K71" i="3"/>
  <c r="U71" i="3" s="1"/>
  <c r="X71" i="3" s="1"/>
  <c r="K79" i="3"/>
  <c r="U79" i="3" s="1"/>
  <c r="X79" i="3" s="1"/>
  <c r="K89" i="3"/>
  <c r="U89" i="3" s="1"/>
  <c r="X89" i="3" s="1"/>
  <c r="M91" i="3"/>
  <c r="T91" i="3" s="1"/>
  <c r="U91" i="3" s="1"/>
  <c r="X91" i="3" s="1"/>
  <c r="L95" i="3"/>
  <c r="M100" i="3"/>
  <c r="T100" i="3" s="1"/>
  <c r="U100" i="3" s="1"/>
  <c r="X100" i="3" s="1"/>
  <c r="M108" i="3"/>
  <c r="T108" i="3" s="1"/>
  <c r="U108" i="3" s="1"/>
  <c r="X108" i="3" s="1"/>
  <c r="M95" i="3"/>
  <c r="M7" i="2"/>
  <c r="L7" i="2"/>
  <c r="X4" i="2"/>
  <c r="U6" i="2"/>
  <c r="X6" i="2" s="1"/>
  <c r="U13" i="2"/>
  <c r="X13" i="2" s="1"/>
  <c r="U19" i="2"/>
  <c r="X19" i="2" s="1"/>
  <c r="U12" i="2"/>
  <c r="X12" i="2" s="1"/>
  <c r="U18" i="2"/>
  <c r="X18" i="2" s="1"/>
  <c r="U27" i="2"/>
  <c r="X27" i="2" s="1"/>
  <c r="U28" i="2"/>
  <c r="X28" i="2" s="1"/>
  <c r="L8" i="2"/>
  <c r="T8" i="2" s="1"/>
  <c r="U8" i="2" s="1"/>
  <c r="X8" i="2" s="1"/>
  <c r="K17" i="2"/>
  <c r="K23" i="2"/>
  <c r="K25" i="2"/>
  <c r="K26" i="2"/>
  <c r="K33" i="2"/>
  <c r="M33" i="2"/>
  <c r="M35" i="2"/>
  <c r="K35" i="2"/>
  <c r="K45" i="2"/>
  <c r="M45" i="2"/>
  <c r="H116" i="2"/>
  <c r="M46" i="2"/>
  <c r="T46" i="2" s="1"/>
  <c r="U46" i="2" s="1"/>
  <c r="X46" i="2" s="1"/>
  <c r="M106" i="2"/>
  <c r="L106" i="2"/>
  <c r="K106" i="2"/>
  <c r="L17" i="2"/>
  <c r="T17" i="2" s="1"/>
  <c r="K20" i="2"/>
  <c r="U20" i="2" s="1"/>
  <c r="X20" i="2" s="1"/>
  <c r="K22" i="2"/>
  <c r="U22" i="2" s="1"/>
  <c r="X22" i="2" s="1"/>
  <c r="L23" i="2"/>
  <c r="T23" i="2" s="1"/>
  <c r="L25" i="2"/>
  <c r="T25" i="2" s="1"/>
  <c r="L26" i="2"/>
  <c r="T26" i="2" s="1"/>
  <c r="U31" i="2"/>
  <c r="X31" i="2" s="1"/>
  <c r="L33" i="2"/>
  <c r="T34" i="2"/>
  <c r="U34" i="2" s="1"/>
  <c r="X34" i="2" s="1"/>
  <c r="L35" i="2"/>
  <c r="T35" i="2" s="1"/>
  <c r="K37" i="2"/>
  <c r="M37" i="2"/>
  <c r="T37" i="2" s="1"/>
  <c r="U39" i="2"/>
  <c r="X39" i="2" s="1"/>
  <c r="K41" i="2"/>
  <c r="U41" i="2" s="1"/>
  <c r="X41" i="2" s="1"/>
  <c r="M41" i="2"/>
  <c r="T41" i="2" s="1"/>
  <c r="T44" i="2"/>
  <c r="U44" i="2" s="1"/>
  <c r="X44" i="2" s="1"/>
  <c r="L45" i="2"/>
  <c r="T47" i="2"/>
  <c r="U47" i="2" s="1"/>
  <c r="X47" i="2" s="1"/>
  <c r="Z47" i="2" s="1"/>
  <c r="T60" i="2"/>
  <c r="K73" i="2"/>
  <c r="M73" i="2"/>
  <c r="L73" i="2"/>
  <c r="T73" i="2" s="1"/>
  <c r="L93" i="2"/>
  <c r="M93" i="2"/>
  <c r="K93" i="2"/>
  <c r="K101" i="2"/>
  <c r="M101" i="2"/>
  <c r="L101" i="2"/>
  <c r="G116" i="2"/>
  <c r="T5" i="2"/>
  <c r="T36" i="2"/>
  <c r="U36" i="2" s="1"/>
  <c r="X36" i="2" s="1"/>
  <c r="T40" i="2"/>
  <c r="U40" i="2" s="1"/>
  <c r="X40" i="2" s="1"/>
  <c r="K42" i="2"/>
  <c r="U42" i="2" s="1"/>
  <c r="X42" i="2" s="1"/>
  <c r="U49" i="2"/>
  <c r="X49" i="2" s="1"/>
  <c r="T55" i="2"/>
  <c r="K59" i="2"/>
  <c r="M59" i="2"/>
  <c r="L59" i="2"/>
  <c r="T63" i="2"/>
  <c r="U64" i="2"/>
  <c r="X64" i="2" s="1"/>
  <c r="M72" i="2"/>
  <c r="T72" i="2" s="1"/>
  <c r="U72" i="2" s="1"/>
  <c r="X72" i="2" s="1"/>
  <c r="L96" i="2"/>
  <c r="T96" i="2" s="1"/>
  <c r="U96" i="2" s="1"/>
  <c r="X96" i="2" s="1"/>
  <c r="U104" i="2"/>
  <c r="X104" i="2" s="1"/>
  <c r="L105" i="2"/>
  <c r="T105" i="2" s="1"/>
  <c r="K105" i="2"/>
  <c r="T112" i="2"/>
  <c r="U112" i="2" s="1"/>
  <c r="X112" i="2" s="1"/>
  <c r="U54" i="2"/>
  <c r="X54" i="2" s="1"/>
  <c r="L110" i="2"/>
  <c r="K110" i="2"/>
  <c r="K55" i="2"/>
  <c r="U55" i="2" s="1"/>
  <c r="X55" i="2" s="1"/>
  <c r="K57" i="2"/>
  <c r="U57" i="2" s="1"/>
  <c r="X57" i="2" s="1"/>
  <c r="K60" i="2"/>
  <c r="U60" i="2" s="1"/>
  <c r="X60" i="2" s="1"/>
  <c r="L62" i="2"/>
  <c r="T62" i="2" s="1"/>
  <c r="U62" i="2" s="1"/>
  <c r="X62" i="2" s="1"/>
  <c r="M64" i="2"/>
  <c r="T64" i="2" s="1"/>
  <c r="K74" i="2"/>
  <c r="U74" i="2" s="1"/>
  <c r="X74" i="2" s="1"/>
  <c r="T80" i="2"/>
  <c r="U80" i="2" s="1"/>
  <c r="X80" i="2" s="1"/>
  <c r="L86" i="2"/>
  <c r="T86" i="2" s="1"/>
  <c r="U86" i="2" s="1"/>
  <c r="X86" i="2" s="1"/>
  <c r="K87" i="2"/>
  <c r="U87" i="2" s="1"/>
  <c r="X87" i="2" s="1"/>
  <c r="K94" i="2"/>
  <c r="U94" i="2" s="1"/>
  <c r="X94" i="2" s="1"/>
  <c r="L98" i="2"/>
  <c r="T98" i="2" s="1"/>
  <c r="U98" i="2" s="1"/>
  <c r="X98" i="2" s="1"/>
  <c r="M102" i="2"/>
  <c r="T102" i="2" s="1"/>
  <c r="U102" i="2" s="1"/>
  <c r="X102" i="2" s="1"/>
  <c r="K103" i="2"/>
  <c r="U108" i="2"/>
  <c r="X108" i="2" s="1"/>
  <c r="L109" i="2"/>
  <c r="T109" i="2" s="1"/>
  <c r="U109" i="2" s="1"/>
  <c r="X109" i="2" s="1"/>
  <c r="M110" i="2"/>
  <c r="T113" i="2"/>
  <c r="U113" i="2" s="1"/>
  <c r="X113" i="2" s="1"/>
  <c r="U114" i="2"/>
  <c r="X114" i="2" s="1"/>
  <c r="U4" i="1"/>
  <c r="T12" i="1"/>
  <c r="U12" i="1" s="1"/>
  <c r="X12" i="1" s="1"/>
  <c r="T18" i="1"/>
  <c r="U18" i="1" s="1"/>
  <c r="X18" i="1" s="1"/>
  <c r="M35" i="1"/>
  <c r="L35" i="1"/>
  <c r="M42" i="1"/>
  <c r="L42" i="1"/>
  <c r="T42" i="1" s="1"/>
  <c r="K42" i="1"/>
  <c r="U42" i="1" s="1"/>
  <c r="X42" i="1" s="1"/>
  <c r="L92" i="1"/>
  <c r="K92" i="1"/>
  <c r="M92" i="1"/>
  <c r="G115" i="1"/>
  <c r="L7" i="1"/>
  <c r="T7" i="1" s="1"/>
  <c r="L11" i="1"/>
  <c r="T11" i="1" s="1"/>
  <c r="U11" i="1" s="1"/>
  <c r="X11" i="1" s="1"/>
  <c r="K16" i="1"/>
  <c r="K115" i="1" s="1"/>
  <c r="L17" i="1"/>
  <c r="T17" i="1" s="1"/>
  <c r="U17" i="1" s="1"/>
  <c r="X17" i="1" s="1"/>
  <c r="L23" i="1"/>
  <c r="K26" i="1"/>
  <c r="K30" i="1"/>
  <c r="T33" i="1"/>
  <c r="U33" i="1" s="1"/>
  <c r="X33" i="1" s="1"/>
  <c r="K35" i="1"/>
  <c r="M38" i="1"/>
  <c r="L38" i="1"/>
  <c r="K38" i="1"/>
  <c r="M45" i="1"/>
  <c r="L45" i="1"/>
  <c r="K45" i="1"/>
  <c r="U50" i="1"/>
  <c r="X50" i="1" s="1"/>
  <c r="L72" i="1"/>
  <c r="T72" i="1" s="1"/>
  <c r="K72" i="1"/>
  <c r="U72" i="1" s="1"/>
  <c r="X72" i="1" s="1"/>
  <c r="U79" i="1"/>
  <c r="X79" i="1" s="1"/>
  <c r="U7" i="1"/>
  <c r="X7" i="1" s="1"/>
  <c r="M57" i="1"/>
  <c r="L57" i="1"/>
  <c r="K57" i="1"/>
  <c r="U5" i="1"/>
  <c r="X5" i="1" s="1"/>
  <c r="L16" i="1"/>
  <c r="T16" i="1" s="1"/>
  <c r="T20" i="1"/>
  <c r="U20" i="1" s="1"/>
  <c r="X20" i="1" s="1"/>
  <c r="U21" i="1"/>
  <c r="X21" i="1" s="1"/>
  <c r="M23" i="1"/>
  <c r="M115" i="1" s="1"/>
  <c r="U24" i="1"/>
  <c r="X24" i="1" s="1"/>
  <c r="L26" i="1"/>
  <c r="T26" i="1" s="1"/>
  <c r="L30" i="1"/>
  <c r="T30" i="1" s="1"/>
  <c r="U41" i="1"/>
  <c r="M99" i="1"/>
  <c r="L99" i="1"/>
  <c r="T99" i="1" s="1"/>
  <c r="K99" i="1"/>
  <c r="T44" i="1"/>
  <c r="U44" i="1" s="1"/>
  <c r="X44" i="1" s="1"/>
  <c r="U51" i="1"/>
  <c r="X51" i="1" s="1"/>
  <c r="U55" i="1"/>
  <c r="X55" i="1" s="1"/>
  <c r="U89" i="1"/>
  <c r="X89" i="1" s="1"/>
  <c r="L39" i="1"/>
  <c r="T39" i="1" s="1"/>
  <c r="U39" i="1" s="1"/>
  <c r="X39" i="1" s="1"/>
  <c r="L43" i="1"/>
  <c r="T43" i="1" s="1"/>
  <c r="U43" i="1" s="1"/>
  <c r="M56" i="1"/>
  <c r="T56" i="1" s="1"/>
  <c r="U56" i="1" s="1"/>
  <c r="X56" i="1" s="1"/>
  <c r="K62" i="1"/>
  <c r="U62" i="1" s="1"/>
  <c r="X62" i="1" s="1"/>
  <c r="U67" i="1"/>
  <c r="X67" i="1" s="1"/>
  <c r="T70" i="1"/>
  <c r="U70" i="1" s="1"/>
  <c r="X70" i="1" s="1"/>
  <c r="T71" i="1"/>
  <c r="U71" i="1" s="1"/>
  <c r="X71" i="1" s="1"/>
  <c r="U75" i="1"/>
  <c r="X75" i="1" s="1"/>
  <c r="L85" i="1"/>
  <c r="T85" i="1" s="1"/>
  <c r="U85" i="1" s="1"/>
  <c r="X85" i="1" s="1"/>
  <c r="L91" i="1"/>
  <c r="T91" i="1" s="1"/>
  <c r="L96" i="1"/>
  <c r="T96" i="1" s="1"/>
  <c r="K96" i="1"/>
  <c r="U98" i="1"/>
  <c r="X98" i="1" s="1"/>
  <c r="M102" i="1"/>
  <c r="T102" i="1" s="1"/>
  <c r="U102" i="1" s="1"/>
  <c r="X102" i="1" s="1"/>
  <c r="L61" i="1"/>
  <c r="T61" i="1" s="1"/>
  <c r="K61" i="1"/>
  <c r="M104" i="1"/>
  <c r="L104" i="1"/>
  <c r="T104" i="1" s="1"/>
  <c r="U49" i="1"/>
  <c r="X49" i="1" s="1"/>
  <c r="H115" i="1"/>
  <c r="T69" i="1"/>
  <c r="M76" i="1"/>
  <c r="L76" i="1"/>
  <c r="T76" i="1" s="1"/>
  <c r="U76" i="1" s="1"/>
  <c r="X76" i="1" s="1"/>
  <c r="U78" i="1"/>
  <c r="X78" i="1" s="1"/>
  <c r="U84" i="1"/>
  <c r="X84" i="1" s="1"/>
  <c r="U91" i="1"/>
  <c r="X91" i="1" s="1"/>
  <c r="M93" i="1"/>
  <c r="L93" i="1"/>
  <c r="T101" i="1"/>
  <c r="U101" i="1" s="1"/>
  <c r="X101" i="1" s="1"/>
  <c r="L103" i="1"/>
  <c r="T103" i="1" s="1"/>
  <c r="K103" i="1"/>
  <c r="K104" i="1"/>
  <c r="T109" i="1"/>
  <c r="U109" i="1" s="1"/>
  <c r="X109" i="1" s="1"/>
  <c r="U44" i="4" l="1"/>
  <c r="X44" i="4" s="1"/>
  <c r="M105" i="4"/>
  <c r="T51" i="4"/>
  <c r="T68" i="4"/>
  <c r="U36" i="4"/>
  <c r="X36" i="4" s="1"/>
  <c r="T16" i="4"/>
  <c r="U16" i="4" s="1"/>
  <c r="X16" i="4" s="1"/>
  <c r="T41" i="4"/>
  <c r="U30" i="4"/>
  <c r="X30" i="4" s="1"/>
  <c r="T12" i="4"/>
  <c r="U12" i="4" s="1"/>
  <c r="X12" i="4" s="1"/>
  <c r="U18" i="4"/>
  <c r="X18" i="4" s="1"/>
  <c r="U41" i="4"/>
  <c r="X41" i="4" s="1"/>
  <c r="T7" i="4"/>
  <c r="U7" i="4" s="1"/>
  <c r="X7" i="4" s="1"/>
  <c r="T85" i="4"/>
  <c r="U85" i="4" s="1"/>
  <c r="X85" i="4" s="1"/>
  <c r="T78" i="4"/>
  <c r="U78" i="4" s="1"/>
  <c r="X78" i="4" s="1"/>
  <c r="U99" i="3"/>
  <c r="X99" i="3" s="1"/>
  <c r="U62" i="3"/>
  <c r="X62" i="3" s="1"/>
  <c r="U31" i="3"/>
  <c r="X31" i="3" s="1"/>
  <c r="U46" i="3"/>
  <c r="X46" i="3" s="1"/>
  <c r="Z46" i="3" s="1"/>
  <c r="J110" i="3"/>
  <c r="T12" i="3"/>
  <c r="M110" i="3"/>
  <c r="T32" i="3"/>
  <c r="U32" i="3" s="1"/>
  <c r="X32" i="3" s="1"/>
  <c r="K107" i="2"/>
  <c r="K116" i="2"/>
  <c r="U103" i="2"/>
  <c r="X103" i="2" s="1"/>
  <c r="U63" i="2"/>
  <c r="X63" i="2" s="1"/>
  <c r="U73" i="2"/>
  <c r="X73" i="2" s="1"/>
  <c r="T33" i="2"/>
  <c r="U35" i="2"/>
  <c r="X35" i="2" s="1"/>
  <c r="U26" i="2"/>
  <c r="X26" i="2" s="1"/>
  <c r="U48" i="2"/>
  <c r="X48" i="2" s="1"/>
  <c r="U32" i="2"/>
  <c r="X32" i="2" s="1"/>
  <c r="T45" i="2"/>
  <c r="T59" i="2"/>
  <c r="U59" i="2" s="1"/>
  <c r="X59" i="2" s="1"/>
  <c r="T106" i="2"/>
  <c r="T7" i="2"/>
  <c r="U7" i="2" s="1"/>
  <c r="X7" i="2" s="1"/>
  <c r="L106" i="1"/>
  <c r="T106" i="1" s="1"/>
  <c r="U106" i="1" s="1"/>
  <c r="X106" i="1" s="1"/>
  <c r="U48" i="1"/>
  <c r="X48" i="1" s="1"/>
  <c r="U82" i="1"/>
  <c r="X82" i="1" s="1"/>
  <c r="U111" i="1"/>
  <c r="X111" i="1" s="1"/>
  <c r="U112" i="1"/>
  <c r="X112" i="1" s="1"/>
  <c r="U94" i="1"/>
  <c r="X94" i="1" s="1"/>
  <c r="U69" i="1"/>
  <c r="X69" i="1" s="1"/>
  <c r="U104" i="1"/>
  <c r="X104" i="1" s="1"/>
  <c r="T93" i="1"/>
  <c r="U93" i="1" s="1"/>
  <c r="X93" i="1" s="1"/>
  <c r="U96" i="1"/>
  <c r="X96" i="1" s="1"/>
  <c r="T57" i="1"/>
  <c r="T38" i="1"/>
  <c r="T35" i="1"/>
  <c r="J115" i="1"/>
  <c r="U4" i="4"/>
  <c r="L105" i="4"/>
  <c r="U65" i="4"/>
  <c r="X65" i="4" s="1"/>
  <c r="U51" i="4"/>
  <c r="X51" i="4" s="1"/>
  <c r="U94" i="4"/>
  <c r="X94" i="4" s="1"/>
  <c r="T70" i="4"/>
  <c r="U70" i="4" s="1"/>
  <c r="X70" i="4" s="1"/>
  <c r="U68" i="4"/>
  <c r="X68" i="4" s="1"/>
  <c r="T42" i="4"/>
  <c r="U42" i="4" s="1"/>
  <c r="X42" i="4" s="1"/>
  <c r="K105" i="4"/>
  <c r="U69" i="4"/>
  <c r="X69" i="4" s="1"/>
  <c r="U38" i="4"/>
  <c r="X38" i="4" s="1"/>
  <c r="T56" i="4"/>
  <c r="U56" i="4" s="1"/>
  <c r="X56" i="4" s="1"/>
  <c r="U17" i="4"/>
  <c r="X17" i="4" s="1"/>
  <c r="T80" i="4"/>
  <c r="U80" i="4" s="1"/>
  <c r="X80" i="4" s="1"/>
  <c r="T50" i="4"/>
  <c r="U50" i="4" s="1"/>
  <c r="X50" i="4" s="1"/>
  <c r="T31" i="4"/>
  <c r="U31" i="4" s="1"/>
  <c r="X31" i="4" s="1"/>
  <c r="T95" i="3"/>
  <c r="U95" i="3" s="1"/>
  <c r="X95" i="3" s="1"/>
  <c r="U59" i="3"/>
  <c r="X59" i="3" s="1"/>
  <c r="T42" i="3"/>
  <c r="T38" i="3"/>
  <c r="U38" i="3" s="1"/>
  <c r="X38" i="3" s="1"/>
  <c r="U55" i="3"/>
  <c r="X55" i="3" s="1"/>
  <c r="U52" i="3"/>
  <c r="X52" i="3" s="1"/>
  <c r="T36" i="3"/>
  <c r="T8" i="3"/>
  <c r="U42" i="3"/>
  <c r="X42" i="3" s="1"/>
  <c r="U36" i="3"/>
  <c r="X36" i="3" s="1"/>
  <c r="K110" i="3"/>
  <c r="U5" i="3"/>
  <c r="U102" i="3"/>
  <c r="X102" i="3" s="1"/>
  <c r="T98" i="3"/>
  <c r="U98" i="3" s="1"/>
  <c r="X98" i="3" s="1"/>
  <c r="T81" i="3"/>
  <c r="U81" i="3" s="1"/>
  <c r="X81" i="3" s="1"/>
  <c r="U65" i="3"/>
  <c r="X65" i="3" s="1"/>
  <c r="T52" i="3"/>
  <c r="T45" i="3"/>
  <c r="U45" i="3" s="1"/>
  <c r="X45" i="3" s="1"/>
  <c r="U12" i="3"/>
  <c r="X12" i="3" s="1"/>
  <c r="L110" i="3"/>
  <c r="T13" i="3"/>
  <c r="U13" i="3" s="1"/>
  <c r="X13" i="3" s="1"/>
  <c r="M116" i="2"/>
  <c r="T110" i="2"/>
  <c r="T93" i="2"/>
  <c r="U37" i="2"/>
  <c r="X37" i="2" s="1"/>
  <c r="U106" i="2"/>
  <c r="X106" i="2" s="1"/>
  <c r="U25" i="2"/>
  <c r="X25" i="2" s="1"/>
  <c r="U5" i="2"/>
  <c r="U110" i="2"/>
  <c r="X110" i="2" s="1"/>
  <c r="U23" i="2"/>
  <c r="X23" i="2" s="1"/>
  <c r="U105" i="2"/>
  <c r="X105" i="2" s="1"/>
  <c r="T101" i="2"/>
  <c r="U101" i="2" s="1"/>
  <c r="X101" i="2" s="1"/>
  <c r="U45" i="2"/>
  <c r="U33" i="2"/>
  <c r="X33" i="2" s="1"/>
  <c r="U17" i="2"/>
  <c r="X17" i="2" s="1"/>
  <c r="U57" i="1"/>
  <c r="X57" i="1" s="1"/>
  <c r="T45" i="1"/>
  <c r="U30" i="1"/>
  <c r="X30" i="1" s="1"/>
  <c r="U16" i="1"/>
  <c r="X16" i="1" s="1"/>
  <c r="L115" i="1"/>
  <c r="U35" i="1"/>
  <c r="X35" i="1" s="1"/>
  <c r="U26" i="1"/>
  <c r="X26" i="1" s="1"/>
  <c r="U45" i="1"/>
  <c r="X45" i="1" s="1"/>
  <c r="U103" i="1"/>
  <c r="X103" i="1" s="1"/>
  <c r="U61" i="1"/>
  <c r="X61" i="1" s="1"/>
  <c r="U99" i="1"/>
  <c r="X99" i="1" s="1"/>
  <c r="U38" i="1"/>
  <c r="X38" i="1" s="1"/>
  <c r="T23" i="1"/>
  <c r="U23" i="1" s="1"/>
  <c r="X23" i="1" s="1"/>
  <c r="T92" i="1"/>
  <c r="X4" i="1"/>
  <c r="U93" i="2" l="1"/>
  <c r="X93" i="2" s="1"/>
  <c r="L107" i="2"/>
  <c r="T115" i="1"/>
  <c r="T105" i="4"/>
  <c r="U105" i="4"/>
  <c r="X4" i="4"/>
  <c r="X105" i="4" s="1"/>
  <c r="X5" i="3"/>
  <c r="U110" i="3"/>
  <c r="U8" i="3"/>
  <c r="X8" i="3" s="1"/>
  <c r="T110" i="3"/>
  <c r="X5" i="2"/>
  <c r="U92" i="1"/>
  <c r="T107" i="2" l="1"/>
  <c r="L116" i="2"/>
  <c r="X110" i="3"/>
  <c r="X92" i="1"/>
  <c r="X115" i="1" s="1"/>
  <c r="U115" i="1"/>
  <c r="T116" i="2" l="1"/>
  <c r="U107" i="2"/>
  <c r="X107" i="2" l="1"/>
  <c r="X116" i="2" s="1"/>
  <c r="U1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P7" authorId="0" shapeId="0" xr:uid="{2732B106-A2DC-440C-9BE4-0589F9E3094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98000</t>
        </r>
      </text>
    </comment>
    <comment ref="P17" authorId="0" shapeId="0" xr:uid="{8D6BC787-5C42-43D8-9177-FFB70CC26DD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150,521</t>
        </r>
      </text>
    </comment>
    <comment ref="J92" authorId="0" shapeId="0" xr:uid="{0652BA89-229E-4BCA-82D9-B7D6AD1904F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HORAS EXTRAS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93" authorId="0" shapeId="0" xr:uid="{E0CC0B0C-A258-4E36-8546-94B5A2A7B57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99" authorId="0" shapeId="0" xr:uid="{92FC3BE2-4E75-43AF-A6CA-F3071391B75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S48" authorId="0" shapeId="0" xr:uid="{677694AC-17E2-4178-95CE-AC733A0857B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realiza descuento de la mitad de la primera cuota por valor de 240889 y la segunda parte se descuenta en octubre</t>
        </r>
      </text>
    </comment>
    <comment ref="J95" authorId="0" shapeId="0" xr:uid="{DEF6491E-9556-4795-A2A5-2D9FEEB43BC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  <comment ref="S98" authorId="0" shapeId="0" xr:uid="{3CCB2046-55FF-479B-ACAA-594FD2C7D14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cuota de la libranza es de 514,771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S47" authorId="0" shapeId="0" xr:uid="{9D7DB37D-8CBC-4499-BD9D-B679F4A59E7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realiza descuento de la mitad de la primera cuota por valor de 240889 y la segunda parte se descuenta en octubre</t>
        </r>
      </text>
    </comment>
    <comment ref="J95" authorId="0" shapeId="0" xr:uid="{05A40827-EF54-4B39-B7C4-372E2342DE0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  <comment ref="S98" authorId="0" shapeId="0" xr:uid="{473A9DBB-A919-407A-B2E7-2390C044EF0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cuota de la libranza es de 514,771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93" authorId="0" shapeId="0" xr:uid="{712F4AB6-83DB-4904-A3AD-E9892BBB482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  <comment ref="T96" authorId="0" shapeId="0" xr:uid="{3E525ABF-D118-452B-90EF-5C219C66831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cuota de la libranza es de 514,771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94" authorId="0" shapeId="0" xr:uid="{78BE37CC-CE4D-45AF-853A-4868E6A686E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  <comment ref="T97" authorId="0" shapeId="0" xr:uid="{11F652F2-D48B-42F5-B9D9-0A8AECB66E3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cuota de la libranza es de 514,771
</t>
        </r>
      </text>
    </comment>
  </commentList>
</comments>
</file>

<file path=xl/sharedStrings.xml><?xml version="1.0" encoding="utf-8"?>
<sst xmlns="http://schemas.openxmlformats.org/spreadsheetml/2006/main" count="2302" uniqueCount="200">
  <si>
    <t>PLANILLA DE NOMINA EXSIS SOFTWARE DE NOMINA 2017</t>
  </si>
  <si>
    <t xml:space="preserve"> </t>
  </si>
  <si>
    <t>DEVENGOS</t>
  </si>
  <si>
    <t>DEDUCCIONES</t>
  </si>
  <si>
    <t>ACE</t>
  </si>
  <si>
    <t>No.</t>
  </si>
  <si>
    <t>Nombre</t>
  </si>
  <si>
    <t>MODALIDAD</t>
  </si>
  <si>
    <t>SUELDO MES</t>
  </si>
  <si>
    <t>No. Dìas</t>
  </si>
  <si>
    <t xml:space="preserve">SUELDO MES </t>
  </si>
  <si>
    <t>Subsidio Transporte</t>
  </si>
  <si>
    <t>Auxilios</t>
  </si>
  <si>
    <t>VACACIONES</t>
  </si>
  <si>
    <t>Devengos</t>
  </si>
  <si>
    <t>Salud</t>
  </si>
  <si>
    <t>PENSION+ FONDO DE SOLIDARIDAD</t>
  </si>
  <si>
    <t>Cooperativa</t>
  </si>
  <si>
    <t>DESCUENTO NESTLE O CARRERA UNICEF</t>
  </si>
  <si>
    <t>RETENCION</t>
  </si>
  <si>
    <t>CUENTA AFC</t>
  </si>
  <si>
    <t>ANTICIPOS/ PREPAGADA</t>
  </si>
  <si>
    <t>Descuento por Prestamos</t>
  </si>
  <si>
    <t>Total Deducciones</t>
  </si>
  <si>
    <t>TOTAL A PAGAR</t>
  </si>
  <si>
    <t>NETO A PAGAR ENERO</t>
  </si>
  <si>
    <t>ADRIANA CUELLAR JIMENEZ</t>
  </si>
  <si>
    <t>NOMINA</t>
  </si>
  <si>
    <t>ALBERTO ALBEIRO ALMARIO VALBUENA</t>
  </si>
  <si>
    <t>ALEJANDRO TOVAR ALVARADO</t>
  </si>
  <si>
    <t>ANA LUCIA ARBELAEZ BARBOSA</t>
  </si>
  <si>
    <t>ANDRES HERRERA MALDONADO</t>
  </si>
  <si>
    <t>ANGELA ENITH RODRGUEZ MORENO</t>
  </si>
  <si>
    <t>AURORA VARGAS MORENO</t>
  </si>
  <si>
    <t>CARLOS ENRIQUE MENDEZ CUENTAS</t>
  </si>
  <si>
    <t xml:space="preserve">NOMINA </t>
  </si>
  <si>
    <t>CARMEN ALEIDA QUINTERO REYES</t>
  </si>
  <si>
    <t>DIEGO ANDRES MONCADA VEGA</t>
  </si>
  <si>
    <t>EDGAR ALEXANDER ESPINOSA GONZALEZ</t>
  </si>
  <si>
    <t>EDISON DAVID TORRES RUIZ</t>
  </si>
  <si>
    <t>ELEONORA PEÑA RODRIGUEZ</t>
  </si>
  <si>
    <t>GUSTAVO IGNACIO MAGGI WULFF</t>
  </si>
  <si>
    <t>HAROLD STEVEN ARENAS CHAVEZ</t>
  </si>
  <si>
    <t>HECTOR GERMAN CHAPARRO RODRIGUEZ</t>
  </si>
  <si>
    <t>JAIME CARLOS SANMARTIN DAZA</t>
  </si>
  <si>
    <t>JAIRO ERNESTO MALAGON GAITAN</t>
  </si>
  <si>
    <t>JAVIER CRUZ RODRIGUEZ</t>
  </si>
  <si>
    <t>JIMMY ALEXANDER CIFUENTES</t>
  </si>
  <si>
    <t>JOHANA KARINA PELAEZ PUENTES</t>
  </si>
  <si>
    <t>JOSE ANDRES MENESES QUINTERO</t>
  </si>
  <si>
    <t>JOSE RAFAEL GOMEZ GONZALEZ</t>
  </si>
  <si>
    <t>JUAN CAMILO MENDIETA SILVA</t>
  </si>
  <si>
    <t>JUAN CAMILO MOYA MUÑOZ</t>
  </si>
  <si>
    <t>JUAN PABLO VIVAS REINOSO</t>
  </si>
  <si>
    <t>JUAN RAMON BELTRAN ALFARO</t>
  </si>
  <si>
    <t>JULIAN ANDRES RAMIREZ CELIS</t>
  </si>
  <si>
    <t>LEONEL SIERRA MARTINEZ</t>
  </si>
  <si>
    <t xml:space="preserve">LUIS DANIEL HERRERA MALDONADO </t>
  </si>
  <si>
    <t>LUIS IVAN GONZALEZ SANTIAGO</t>
  </si>
  <si>
    <t>MANUEL EDUARDO HERNANDEZ RODRIGUEZ</t>
  </si>
  <si>
    <t>MANUELA RODRIGUEZ BENITEZ</t>
  </si>
  <si>
    <t>MARTHA NUBIA GONZALEZ RINCON</t>
  </si>
  <si>
    <t>MONICA JULIETH SANCHEZ FUENTES</t>
  </si>
  <si>
    <t xml:space="preserve">NYDIA CASTILBLANCO MARIN </t>
  </si>
  <si>
    <t>ORLANDO SUAREZ LABOTON</t>
  </si>
  <si>
    <t xml:space="preserve">OSCAR DAVID ERNESTO VEGA BONILLA </t>
  </si>
  <si>
    <t>OTTO DARLING NIETO GUERRERO</t>
  </si>
  <si>
    <t>RAMON ANTONIO SUAREZ BUITRAGO</t>
  </si>
  <si>
    <t>ROBERTO JOSE DUQUE DIASGRANADOS</t>
  </si>
  <si>
    <t>ROGER BARRIOS AMOROCHO</t>
  </si>
  <si>
    <t>SERGIO BAYARDO CORDOBA</t>
  </si>
  <si>
    <t>TICSIANA LORENA CARRILLO</t>
  </si>
  <si>
    <t>WILLIAM JOSE VIVAS ESCALANTE</t>
  </si>
  <si>
    <t>ALVARO JAVIER BARBOSA</t>
  </si>
  <si>
    <t>ANA MARCELA PEÑA MURALLAS</t>
  </si>
  <si>
    <t>ANDREA TATIANA ACEVEDO CASTAÑEDA</t>
  </si>
  <si>
    <t>ANGEL JULIAN  GONZALEZ PINZON</t>
  </si>
  <si>
    <t>ARIANA VALENTINA JIMENEZ PEDRAZA</t>
  </si>
  <si>
    <t>BRAYAN JULIAN CORREDOR PUENTES</t>
  </si>
  <si>
    <t>BRENDA AGUACIA BENITEZ</t>
  </si>
  <si>
    <t>CARLOS HERNAN CARDONA TABORA</t>
  </si>
  <si>
    <t>CHABELI GINETH SINISTERRA PUSSEY</t>
  </si>
  <si>
    <t>CINDY VIVIANA MENDOZA VILLATE</t>
  </si>
  <si>
    <t>CLARA ISABEL PEDRAZA RUEDA</t>
  </si>
  <si>
    <t>CRISTHIAN CAMILO JIMENEZ VARON</t>
  </si>
  <si>
    <t>CRISTHIAN FELIPE GUERRERO PINEROS</t>
  </si>
  <si>
    <t>DANIELA MALDONADO CASTRO</t>
  </si>
  <si>
    <t>DAVID ALEXANDER OCAMPO</t>
  </si>
  <si>
    <t>DAVID ENRIQUE MAHECHA SARMIENTO</t>
  </si>
  <si>
    <t>DAVID OBREGON SANCHEZ</t>
  </si>
  <si>
    <t>DIEGO MAURICIO ORTIZ PARADA</t>
  </si>
  <si>
    <t>DULIETH SANCHEZ PINTO</t>
  </si>
  <si>
    <t>EDWAR CAMILO LONDOÑO SANCHEZ</t>
  </si>
  <si>
    <t>ELVER YESID MELO MONROY</t>
  </si>
  <si>
    <t xml:space="preserve">ERVID ALFRED MOLINA BARRIOS </t>
  </si>
  <si>
    <t>FABIO ANDRES ROA GARCIA</t>
  </si>
  <si>
    <t>FABIO HERNAN VALENCIA CRUZ</t>
  </si>
  <si>
    <t>FREDY MAURICIO NAVARRETE MOLANO</t>
  </si>
  <si>
    <t>GERARDO ENRIQUE MENDEZ RAIGOSO</t>
  </si>
  <si>
    <t>GIPSY YEPES FONTECHA</t>
  </si>
  <si>
    <t>HAYLIN NAYIBE NIETO MORALES</t>
  </si>
  <si>
    <t>JEAN JAVIER ORTIZ HENAO</t>
  </si>
  <si>
    <t>JESSICA PAOLA NEGRETE MONTES</t>
  </si>
  <si>
    <t>JHON DAVID CARVAJAL</t>
  </si>
  <si>
    <t>JOHANN ARLEY BRIÑEZ TRIANA</t>
  </si>
  <si>
    <t>JONATHAN MEZA SANTOS</t>
  </si>
  <si>
    <t>+</t>
  </si>
  <si>
    <t>JOSE JAVIER SASTOQUE SANCHEZ</t>
  </si>
  <si>
    <t>JUAN CAMILO LARA LEON</t>
  </si>
  <si>
    <t>JUAN DAVID MONROY</t>
  </si>
  <si>
    <t>JULIAN SEBASTIAN PEÑA CASTELLANOS</t>
  </si>
  <si>
    <t>KATTYA ALEXANDRA PEÑA NIETO</t>
  </si>
  <si>
    <t>LEONARDO ARMERO BARBOSA</t>
  </si>
  <si>
    <t>LUISA FERNANDA GALINDO HIGUERA</t>
  </si>
  <si>
    <t>MAIRA ALEJANDRA CLARO ROPERO</t>
  </si>
  <si>
    <t>MANUEL FERNANDO MENDEZ CARDOSO</t>
  </si>
  <si>
    <t>MANUEL FERNANDO MUÑOZ GARCES</t>
  </si>
  <si>
    <t>MARIA TRANSITO PULIDO PARRA</t>
  </si>
  <si>
    <t>MARILY BAQUERO ACOSTA</t>
  </si>
  <si>
    <t>MIGUEL ANGEL HERRERA RODRIGUEZ</t>
  </si>
  <si>
    <t>MIGUEL ANGEL JIMENEZ NUÑEZ</t>
  </si>
  <si>
    <t>MIGUEL SEBASTIAN JIMENEZ</t>
  </si>
  <si>
    <t>NELSON JAVIER PINZON LOPEZ</t>
  </si>
  <si>
    <t>NESTOR FABIAN CASTILLO ROZO</t>
  </si>
  <si>
    <t>OSCAR ALFONSO FERNANDEZ OSPINA</t>
  </si>
  <si>
    <t>OSCAR ESTEBAN PEÑA PORRAS</t>
  </si>
  <si>
    <t>OSCAR JAVIER BELTRAN VILLAMIZAR</t>
  </si>
  <si>
    <t>PABLO ANDRES LINARES MURCIA</t>
  </si>
  <si>
    <t>RAFAEL LEONARDO GONZALEZ CELIS</t>
  </si>
  <si>
    <t>RICARDO JAVIER ESTRADA SANCHEZ</t>
  </si>
  <si>
    <t>RONALD ANTONY ROJAS FORIGUA</t>
  </si>
  <si>
    <t>SANTIAGO ALVAREZ PORRAS</t>
  </si>
  <si>
    <t xml:space="preserve">SANTIAGO JIMENEZ PEDRAZA </t>
  </si>
  <si>
    <t>SERGIO ALEXIS RODRIGUEZ VASQUEZ</t>
  </si>
  <si>
    <t>SERGIO ANDRES RODRIGUEZ RODRIGUEZ</t>
  </si>
  <si>
    <t>TULIO ESTEBAN JIMENEZ VILLANUEVA</t>
  </si>
  <si>
    <t>VANESA CHIQUILO CASTAÑEDA</t>
  </si>
  <si>
    <t xml:space="preserve">WILLIAM ALEXANDER SIERRA GONZALEZ </t>
  </si>
  <si>
    <t>YOHANA GISELIDA SUAREZ CASTILLO</t>
  </si>
  <si>
    <t>YULIETH MILENA SANDOVAL MARTINEZ</t>
  </si>
  <si>
    <t>TOTALES</t>
  </si>
  <si>
    <t>NOMINA MES DE FEBRERO DE 2017</t>
  </si>
  <si>
    <t>ANA MARIA BARRIOS LEGIZAMON</t>
  </si>
  <si>
    <t>GUSTAVO SANABRIA ORTIZ</t>
  </si>
  <si>
    <t>EXSIS</t>
  </si>
  <si>
    <t>ADRIANA CAMILA LOAIZA</t>
  </si>
  <si>
    <t>NOMINA MES DE MARZO DE 2017</t>
  </si>
  <si>
    <t>DESCUENTO CURSO DE AUDITORIA</t>
  </si>
  <si>
    <t>NETO A PAGAR MARZO</t>
  </si>
  <si>
    <t>OLIMARY GOMEZ CORONEL</t>
  </si>
  <si>
    <t>KAREN ELIZABETH MORA DIAZ</t>
  </si>
  <si>
    <t>LILI CARINA ORDOÑEZ BOCANEGRA</t>
  </si>
  <si>
    <t>NOMINA MES DE ABRIL DE 2017</t>
  </si>
  <si>
    <t>NOMINA MES DE MAYO DE 2017</t>
  </si>
  <si>
    <t xml:space="preserve">  </t>
  </si>
  <si>
    <t>ERIKA MIREYA INFANTE CERVANTES</t>
  </si>
  <si>
    <t>GINNA PAOLA CEPEDA LOMBANA</t>
  </si>
  <si>
    <t>MARIA FERNANDA RIVEROS JIMENEZ</t>
  </si>
  <si>
    <t>MARTHA JANETH JIMENEZ BARRETO</t>
  </si>
  <si>
    <t>NADIA CATALINA VELASQUEZ CENDALES</t>
  </si>
  <si>
    <t xml:space="preserve">YERALDINE BONILLA BARRERA </t>
  </si>
  <si>
    <t>NOMINA MES DE JUNIO DE 2017</t>
  </si>
  <si>
    <t>VACACIONES Y/O PRIMA</t>
  </si>
  <si>
    <t>ABDAMIR SAAB GARZON</t>
  </si>
  <si>
    <t>CARLOS ANDRES PEÑA AVENDAÑO</t>
  </si>
  <si>
    <t>ERIK VON CABARCAS GPMEZ</t>
  </si>
  <si>
    <t>FREDY MAURICIO NAVARRETE</t>
  </si>
  <si>
    <t xml:space="preserve">GERARDO ENRIQUE MENDEZ </t>
  </si>
  <si>
    <t>JUAN CARLOS RAMIREZ CASTRO</t>
  </si>
  <si>
    <t>JUAN FELIPE ARAGON MANRIQUE</t>
  </si>
  <si>
    <t>JUAN MANUEL CUESTAS BELTRAN</t>
  </si>
  <si>
    <t>JULI ANDREA AVILA GUTIERREZ</t>
  </si>
  <si>
    <t>KATERINE LUCIA VASQUEZ MORALES</t>
  </si>
  <si>
    <t>SANDRA YULIETH GARCIA</t>
  </si>
  <si>
    <t>CHRYSTIAM DAVID MARTINEZ AVILA</t>
  </si>
  <si>
    <t>DAVID CELIANO HERRERA  GUTIERREZ</t>
  </si>
  <si>
    <t>JEFFERSON STIVENS RODRIGUEZ RODRI</t>
  </si>
  <si>
    <t>MERCEDES SALAMANCA CASTAÑEDA</t>
  </si>
  <si>
    <t>JONATHAN BARICOT HERNANDEZ</t>
  </si>
  <si>
    <t>SOFIA LORENA FAJARDO ESTEBAN</t>
  </si>
  <si>
    <t>NOMINA MES DE SEPTIEMBRE DE 2017</t>
  </si>
  <si>
    <t>DESCUENTO PRESTAMO</t>
  </si>
  <si>
    <t>NETO A PAGAR SEPTIEMBRE</t>
  </si>
  <si>
    <t>CLARA MARIA VASQUEZ MOSQUERA</t>
  </si>
  <si>
    <t>JHON DAVID CARVAJAL RIVERA</t>
  </si>
  <si>
    <t>LUIS EDGAR BERNAL CORREDOR</t>
  </si>
  <si>
    <t xml:space="preserve">YULY ANDREA RIOS TAPIERO </t>
  </si>
  <si>
    <t>NOMINA MES DE OCTUBRE DE 2017</t>
  </si>
  <si>
    <t>NETO A PAGAR OCTUBRE</t>
  </si>
  <si>
    <t>DAVID JAVIER AGUILAR RODRIGUEZ</t>
  </si>
  <si>
    <t>MICHAEL STEVEN BONILLA OROZCO</t>
  </si>
  <si>
    <t>NOMINA MES DE NOVIEMBRE DE 2017</t>
  </si>
  <si>
    <t>Incapacidad</t>
  </si>
  <si>
    <t>JOSE GABRIEL AHUMADA SOTO</t>
  </si>
  <si>
    <t>NOMINA MES DE DICIEMBRE  DE 2017</t>
  </si>
  <si>
    <t>GUSTAVO ANDRES CAMARGO DUQUE</t>
  </si>
  <si>
    <t>LEIDY DIANA RODRIGUEZ SUAREZ</t>
  </si>
  <si>
    <t>SANDRA MILENA MENDEZ SASTRE</t>
  </si>
  <si>
    <t>COMPENSAR</t>
  </si>
  <si>
    <t>PICHINCHA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</si>
</sst>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[$$-240A]\ * #,##0_ ;_-[$$-240A]\ * \-#,##0\ ;_-[$$-240A]\ * &quot;-&quot;_ ;_-@_ "/>
    <numFmt numFmtId="166" formatCode="_(&quot;€&quot;* #,##0.00_);_(&quot;€&quot;* \(#,##0.00\);_(&quot;€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6">
    <xf numFmtId="0" fontId="0" fillId="0" borderId="0" xfId="0"/>
    <xf numFmtId="3" fontId="2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164" fontId="5" fillId="0" borderId="1" xfId="2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164" fontId="5" fillId="0" borderId="1" xfId="2" applyNumberFormat="1" applyFont="1" applyFill="1" applyBorder="1" applyAlignment="1">
      <alignment horizontal="center" vertical="center" wrapText="1"/>
    </xf>
    <xf numFmtId="3" fontId="4" fillId="0" borderId="1" xfId="1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164" fontId="5" fillId="0" borderId="0" xfId="2" applyNumberFormat="1" applyFont="1" applyFill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164" fontId="5" fillId="0" borderId="0" xfId="2" applyNumberFormat="1" applyFont="1" applyFill="1" applyBorder="1" applyAlignment="1">
      <alignment horizontal="center" vertical="center" wrapText="1"/>
    </xf>
    <xf numFmtId="166" fontId="5" fillId="0" borderId="0" xfId="1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 wrapText="1"/>
    </xf>
    <xf numFmtId="3" fontId="5" fillId="0" borderId="0" xfId="2" applyNumberFormat="1" applyFont="1" applyFill="1" applyBorder="1" applyAlignment="1">
      <alignment horizontal="center" vertical="center"/>
    </xf>
    <xf numFmtId="3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4" fillId="0" borderId="1" xfId="2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Alignment="1">
      <alignment horizontal="center" vertical="center"/>
    </xf>
    <xf numFmtId="3" fontId="4" fillId="0" borderId="5" xfId="0" applyNumberFormat="1" applyFont="1" applyFill="1" applyBorder="1" applyAlignment="1">
      <alignment horizontal="center" vertical="center"/>
    </xf>
    <xf numFmtId="3" fontId="4" fillId="0" borderId="6" xfId="0" applyNumberFormat="1" applyFont="1" applyFill="1" applyBorder="1" applyAlignment="1">
      <alignment horizontal="center" vertical="center"/>
    </xf>
    <xf numFmtId="3" fontId="4" fillId="0" borderId="7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textRotation="45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164" fontId="4" fillId="0" borderId="0" xfId="2" applyNumberFormat="1" applyFont="1" applyFill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164" fontId="4" fillId="0" borderId="0" xfId="2" applyNumberFormat="1" applyFont="1" applyFill="1" applyBorder="1" applyAlignment="1">
      <alignment horizontal="center" vertical="center" wrapText="1"/>
    </xf>
    <xf numFmtId="166" fontId="4" fillId="0" borderId="0" xfId="1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0" borderId="0" xfId="2" applyNumberFormat="1" applyFont="1" applyFill="1" applyBorder="1" applyAlignment="1">
      <alignment horizontal="center" vertical="center"/>
    </xf>
    <xf numFmtId="3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 textRotation="45"/>
    </xf>
    <xf numFmtId="43" fontId="4" fillId="0" borderId="1" xfId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textRotation="45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4" fontId="5" fillId="2" borderId="1" xfId="2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textRotation="45"/>
    </xf>
    <xf numFmtId="0" fontId="4" fillId="0" borderId="3" xfId="0" applyFont="1" applyFill="1" applyBorder="1" applyAlignment="1">
      <alignment horizontal="center" vertical="center" textRotation="45"/>
    </xf>
    <xf numFmtId="0" fontId="4" fillId="0" borderId="4" xfId="0" applyFont="1" applyFill="1" applyBorder="1" applyAlignment="1">
      <alignment horizontal="center" vertical="center" textRotation="45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3" fontId="4" fillId="0" borderId="5" xfId="0" applyNumberFormat="1" applyFont="1" applyFill="1" applyBorder="1" applyAlignment="1">
      <alignment horizontal="center" vertical="center"/>
    </xf>
    <xf numFmtId="3" fontId="4" fillId="0" borderId="8" xfId="0" applyNumberFormat="1" applyFont="1" applyFill="1" applyBorder="1" applyAlignment="1">
      <alignment horizontal="center" vertical="center"/>
    </xf>
    <xf numFmtId="3" fontId="4" fillId="0" borderId="7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textRotation="45"/>
    </xf>
    <xf numFmtId="0" fontId="5" fillId="0" borderId="3" xfId="0" applyFont="1" applyFill="1" applyBorder="1" applyAlignment="1">
      <alignment horizontal="center" vertical="center" textRotation="45"/>
    </xf>
    <xf numFmtId="0" fontId="5" fillId="0" borderId="4" xfId="0" applyFont="1" applyFill="1" applyBorder="1" applyAlignment="1">
      <alignment horizontal="center" vertical="center" textRotation="45"/>
    </xf>
    <xf numFmtId="0" fontId="5" fillId="0" borderId="0" xfId="0" applyFont="1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7"/>
  <sheetViews>
    <sheetView workbookViewId="0">
      <selection activeCell="I14" sqref="I14"/>
    </sheetView>
  </sheetViews>
  <sheetFormatPr baseColWidth="10" defaultRowHeight="12" x14ac:dyDescent="0.25"/>
  <cols>
    <col min="1" max="1" width="10.42578125" style="45" customWidth="1"/>
    <col min="2" max="2" width="4.85546875" style="45" customWidth="1"/>
    <col min="3" max="3" width="32.7109375" style="52" customWidth="1"/>
    <col min="4" max="4" width="8.5703125" style="45" customWidth="1"/>
    <col min="5" max="5" width="10.85546875" style="47" customWidth="1"/>
    <col min="6" max="6" width="4.42578125" style="47" customWidth="1"/>
    <col min="7" max="7" width="11.28515625" style="47" customWidth="1"/>
    <col min="8" max="8" width="9" style="47" customWidth="1"/>
    <col min="9" max="9" width="10.42578125" style="47" customWidth="1"/>
    <col min="10" max="10" width="9.85546875" style="47" customWidth="1"/>
    <col min="11" max="11" width="11.7109375" style="47" customWidth="1"/>
    <col min="12" max="12" width="9.85546875" style="47" customWidth="1"/>
    <col min="13" max="13" width="10.140625" style="47" customWidth="1"/>
    <col min="14" max="14" width="8.7109375" style="47" customWidth="1"/>
    <col min="15" max="15" width="10.42578125" style="47" customWidth="1"/>
    <col min="16" max="16" width="9.5703125" style="47" customWidth="1"/>
    <col min="17" max="17" width="9" style="47" customWidth="1"/>
    <col min="18" max="18" width="9.42578125" style="47" customWidth="1"/>
    <col min="19" max="19" width="9.85546875" style="47" customWidth="1"/>
    <col min="20" max="20" width="10.42578125" style="47" customWidth="1"/>
    <col min="21" max="21" width="13.42578125" style="45" customWidth="1"/>
    <col min="22" max="22" width="4.42578125" style="45" customWidth="1"/>
    <col min="23" max="23" width="7.28515625" style="56" customWidth="1"/>
    <col min="24" max="24" width="14.28515625" style="45" customWidth="1"/>
    <col min="25" max="246" width="11.42578125" style="45"/>
    <col min="247" max="247" width="10.5703125" style="45" customWidth="1"/>
    <col min="248" max="248" width="4.85546875" style="45" customWidth="1"/>
    <col min="249" max="249" width="32.42578125" style="45" customWidth="1"/>
    <col min="250" max="250" width="9.85546875" style="45" customWidth="1"/>
    <col min="251" max="251" width="10.140625" style="45" customWidth="1"/>
    <col min="252" max="252" width="12.28515625" style="45" customWidth="1"/>
    <col min="253" max="253" width="15.42578125" style="45" customWidth="1"/>
    <col min="254" max="254" width="11.85546875" style="45" customWidth="1"/>
    <col min="255" max="255" width="13.28515625" style="45" customWidth="1"/>
    <col min="256" max="256" width="15.28515625" style="45" customWidth="1"/>
    <col min="257" max="257" width="11.85546875" style="45" customWidth="1"/>
    <col min="258" max="258" width="6.140625" style="45" customWidth="1"/>
    <col min="259" max="259" width="11.85546875" style="45" customWidth="1"/>
    <col min="260" max="260" width="9.42578125" style="45" customWidth="1"/>
    <col min="261" max="261" width="14.7109375" style="45" customWidth="1"/>
    <col min="262" max="262" width="11.5703125" style="45" customWidth="1"/>
    <col min="263" max="263" width="0.42578125" style="45" customWidth="1"/>
    <col min="264" max="264" width="10.5703125" style="45" bestFit="1" customWidth="1"/>
    <col min="265" max="265" width="12.28515625" style="45" customWidth="1"/>
    <col min="266" max="266" width="12.5703125" style="45" customWidth="1"/>
    <col min="267" max="267" width="10.5703125" style="45" customWidth="1"/>
    <col min="268" max="268" width="10.140625" style="45" customWidth="1"/>
    <col min="269" max="269" width="8.42578125" style="45" customWidth="1"/>
    <col min="270" max="270" width="18.85546875" style="45" customWidth="1"/>
    <col min="271" max="271" width="10.28515625" style="45" customWidth="1"/>
    <col min="272" max="272" width="11.42578125" style="45"/>
    <col min="273" max="273" width="12.140625" style="45" customWidth="1"/>
    <col min="274" max="274" width="10.5703125" style="45" customWidth="1"/>
    <col min="275" max="275" width="12.42578125" style="45" customWidth="1"/>
    <col min="276" max="276" width="15.140625" style="45" customWidth="1"/>
    <col min="277" max="277" width="13.5703125" style="45" customWidth="1"/>
    <col min="278" max="278" width="13.140625" style="45" customWidth="1"/>
    <col min="279" max="279" width="15.7109375" style="45" customWidth="1"/>
    <col min="280" max="280" width="37.5703125" style="45" customWidth="1"/>
    <col min="281" max="502" width="11.42578125" style="45"/>
    <col min="503" max="503" width="10.5703125" style="45" customWidth="1"/>
    <col min="504" max="504" width="4.85546875" style="45" customWidth="1"/>
    <col min="505" max="505" width="32.42578125" style="45" customWidth="1"/>
    <col min="506" max="506" width="9.85546875" style="45" customWidth="1"/>
    <col min="507" max="507" width="10.140625" style="45" customWidth="1"/>
    <col min="508" max="508" width="12.28515625" style="45" customWidth="1"/>
    <col min="509" max="509" width="15.42578125" style="45" customWidth="1"/>
    <col min="510" max="510" width="11.85546875" style="45" customWidth="1"/>
    <col min="511" max="511" width="13.28515625" style="45" customWidth="1"/>
    <col min="512" max="512" width="15.28515625" style="45" customWidth="1"/>
    <col min="513" max="513" width="11.85546875" style="45" customWidth="1"/>
    <col min="514" max="514" width="6.140625" style="45" customWidth="1"/>
    <col min="515" max="515" width="11.85546875" style="45" customWidth="1"/>
    <col min="516" max="516" width="9.42578125" style="45" customWidth="1"/>
    <col min="517" max="517" width="14.7109375" style="45" customWidth="1"/>
    <col min="518" max="518" width="11.5703125" style="45" customWidth="1"/>
    <col min="519" max="519" width="0.42578125" style="45" customWidth="1"/>
    <col min="520" max="520" width="10.5703125" style="45" bestFit="1" customWidth="1"/>
    <col min="521" max="521" width="12.28515625" style="45" customWidth="1"/>
    <col min="522" max="522" width="12.5703125" style="45" customWidth="1"/>
    <col min="523" max="523" width="10.5703125" style="45" customWidth="1"/>
    <col min="524" max="524" width="10.140625" style="45" customWidth="1"/>
    <col min="525" max="525" width="8.42578125" style="45" customWidth="1"/>
    <col min="526" max="526" width="18.85546875" style="45" customWidth="1"/>
    <col min="527" max="527" width="10.28515625" style="45" customWidth="1"/>
    <col min="528" max="528" width="11.42578125" style="45"/>
    <col min="529" max="529" width="12.140625" style="45" customWidth="1"/>
    <col min="530" max="530" width="10.5703125" style="45" customWidth="1"/>
    <col min="531" max="531" width="12.42578125" style="45" customWidth="1"/>
    <col min="532" max="532" width="15.140625" style="45" customWidth="1"/>
    <col min="533" max="533" width="13.5703125" style="45" customWidth="1"/>
    <col min="534" max="534" width="13.140625" style="45" customWidth="1"/>
    <col min="535" max="535" width="15.7109375" style="45" customWidth="1"/>
    <col min="536" max="536" width="37.5703125" style="45" customWidth="1"/>
    <col min="537" max="758" width="11.42578125" style="45"/>
    <col min="759" max="759" width="10.5703125" style="45" customWidth="1"/>
    <col min="760" max="760" width="4.85546875" style="45" customWidth="1"/>
    <col min="761" max="761" width="32.42578125" style="45" customWidth="1"/>
    <col min="762" max="762" width="9.85546875" style="45" customWidth="1"/>
    <col min="763" max="763" width="10.140625" style="45" customWidth="1"/>
    <col min="764" max="764" width="12.28515625" style="45" customWidth="1"/>
    <col min="765" max="765" width="15.42578125" style="45" customWidth="1"/>
    <col min="766" max="766" width="11.85546875" style="45" customWidth="1"/>
    <col min="767" max="767" width="13.28515625" style="45" customWidth="1"/>
    <col min="768" max="768" width="15.28515625" style="45" customWidth="1"/>
    <col min="769" max="769" width="11.85546875" style="45" customWidth="1"/>
    <col min="770" max="770" width="6.140625" style="45" customWidth="1"/>
    <col min="771" max="771" width="11.85546875" style="45" customWidth="1"/>
    <col min="772" max="772" width="9.42578125" style="45" customWidth="1"/>
    <col min="773" max="773" width="14.7109375" style="45" customWidth="1"/>
    <col min="774" max="774" width="11.5703125" style="45" customWidth="1"/>
    <col min="775" max="775" width="0.42578125" style="45" customWidth="1"/>
    <col min="776" max="776" width="10.5703125" style="45" bestFit="1" customWidth="1"/>
    <col min="777" max="777" width="12.28515625" style="45" customWidth="1"/>
    <col min="778" max="778" width="12.5703125" style="45" customWidth="1"/>
    <col min="779" max="779" width="10.5703125" style="45" customWidth="1"/>
    <col min="780" max="780" width="10.140625" style="45" customWidth="1"/>
    <col min="781" max="781" width="8.42578125" style="45" customWidth="1"/>
    <col min="782" max="782" width="18.85546875" style="45" customWidth="1"/>
    <col min="783" max="783" width="10.28515625" style="45" customWidth="1"/>
    <col min="784" max="784" width="11.42578125" style="45"/>
    <col min="785" max="785" width="12.140625" style="45" customWidth="1"/>
    <col min="786" max="786" width="10.5703125" style="45" customWidth="1"/>
    <col min="787" max="787" width="12.42578125" style="45" customWidth="1"/>
    <col min="788" max="788" width="15.140625" style="45" customWidth="1"/>
    <col min="789" max="789" width="13.5703125" style="45" customWidth="1"/>
    <col min="790" max="790" width="13.140625" style="45" customWidth="1"/>
    <col min="791" max="791" width="15.7109375" style="45" customWidth="1"/>
    <col min="792" max="792" width="37.5703125" style="45" customWidth="1"/>
    <col min="793" max="1014" width="11.42578125" style="45"/>
    <col min="1015" max="1015" width="10.5703125" style="45" customWidth="1"/>
    <col min="1016" max="1016" width="4.85546875" style="45" customWidth="1"/>
    <col min="1017" max="1017" width="32.42578125" style="45" customWidth="1"/>
    <col min="1018" max="1018" width="9.85546875" style="45" customWidth="1"/>
    <col min="1019" max="1019" width="10.140625" style="45" customWidth="1"/>
    <col min="1020" max="1020" width="12.28515625" style="45" customWidth="1"/>
    <col min="1021" max="1021" width="15.42578125" style="45" customWidth="1"/>
    <col min="1022" max="1022" width="11.85546875" style="45" customWidth="1"/>
    <col min="1023" max="1023" width="13.28515625" style="45" customWidth="1"/>
    <col min="1024" max="1024" width="15.28515625" style="45" customWidth="1"/>
    <col min="1025" max="1025" width="11.85546875" style="45" customWidth="1"/>
    <col min="1026" max="1026" width="6.140625" style="45" customWidth="1"/>
    <col min="1027" max="1027" width="11.85546875" style="45" customWidth="1"/>
    <col min="1028" max="1028" width="9.42578125" style="45" customWidth="1"/>
    <col min="1029" max="1029" width="14.7109375" style="45" customWidth="1"/>
    <col min="1030" max="1030" width="11.5703125" style="45" customWidth="1"/>
    <col min="1031" max="1031" width="0.42578125" style="45" customWidth="1"/>
    <col min="1032" max="1032" width="10.5703125" style="45" bestFit="1" customWidth="1"/>
    <col min="1033" max="1033" width="12.28515625" style="45" customWidth="1"/>
    <col min="1034" max="1034" width="12.5703125" style="45" customWidth="1"/>
    <col min="1035" max="1035" width="10.5703125" style="45" customWidth="1"/>
    <col min="1036" max="1036" width="10.140625" style="45" customWidth="1"/>
    <col min="1037" max="1037" width="8.42578125" style="45" customWidth="1"/>
    <col min="1038" max="1038" width="18.85546875" style="45" customWidth="1"/>
    <col min="1039" max="1039" width="10.28515625" style="45" customWidth="1"/>
    <col min="1040" max="1040" width="11.42578125" style="45"/>
    <col min="1041" max="1041" width="12.140625" style="45" customWidth="1"/>
    <col min="1042" max="1042" width="10.5703125" style="45" customWidth="1"/>
    <col min="1043" max="1043" width="12.42578125" style="45" customWidth="1"/>
    <col min="1044" max="1044" width="15.140625" style="45" customWidth="1"/>
    <col min="1045" max="1045" width="13.5703125" style="45" customWidth="1"/>
    <col min="1046" max="1046" width="13.140625" style="45" customWidth="1"/>
    <col min="1047" max="1047" width="15.7109375" style="45" customWidth="1"/>
    <col min="1048" max="1048" width="37.5703125" style="45" customWidth="1"/>
    <col min="1049" max="1270" width="11.42578125" style="45"/>
    <col min="1271" max="1271" width="10.5703125" style="45" customWidth="1"/>
    <col min="1272" max="1272" width="4.85546875" style="45" customWidth="1"/>
    <col min="1273" max="1273" width="32.42578125" style="45" customWidth="1"/>
    <col min="1274" max="1274" width="9.85546875" style="45" customWidth="1"/>
    <col min="1275" max="1275" width="10.140625" style="45" customWidth="1"/>
    <col min="1276" max="1276" width="12.28515625" style="45" customWidth="1"/>
    <col min="1277" max="1277" width="15.42578125" style="45" customWidth="1"/>
    <col min="1278" max="1278" width="11.85546875" style="45" customWidth="1"/>
    <col min="1279" max="1279" width="13.28515625" style="45" customWidth="1"/>
    <col min="1280" max="1280" width="15.28515625" style="45" customWidth="1"/>
    <col min="1281" max="1281" width="11.85546875" style="45" customWidth="1"/>
    <col min="1282" max="1282" width="6.140625" style="45" customWidth="1"/>
    <col min="1283" max="1283" width="11.85546875" style="45" customWidth="1"/>
    <col min="1284" max="1284" width="9.42578125" style="45" customWidth="1"/>
    <col min="1285" max="1285" width="14.7109375" style="45" customWidth="1"/>
    <col min="1286" max="1286" width="11.5703125" style="45" customWidth="1"/>
    <col min="1287" max="1287" width="0.42578125" style="45" customWidth="1"/>
    <col min="1288" max="1288" width="10.5703125" style="45" bestFit="1" customWidth="1"/>
    <col min="1289" max="1289" width="12.28515625" style="45" customWidth="1"/>
    <col min="1290" max="1290" width="12.5703125" style="45" customWidth="1"/>
    <col min="1291" max="1291" width="10.5703125" style="45" customWidth="1"/>
    <col min="1292" max="1292" width="10.140625" style="45" customWidth="1"/>
    <col min="1293" max="1293" width="8.42578125" style="45" customWidth="1"/>
    <col min="1294" max="1294" width="18.85546875" style="45" customWidth="1"/>
    <col min="1295" max="1295" width="10.28515625" style="45" customWidth="1"/>
    <col min="1296" max="1296" width="11.42578125" style="45"/>
    <col min="1297" max="1297" width="12.140625" style="45" customWidth="1"/>
    <col min="1298" max="1298" width="10.5703125" style="45" customWidth="1"/>
    <col min="1299" max="1299" width="12.42578125" style="45" customWidth="1"/>
    <col min="1300" max="1300" width="15.140625" style="45" customWidth="1"/>
    <col min="1301" max="1301" width="13.5703125" style="45" customWidth="1"/>
    <col min="1302" max="1302" width="13.140625" style="45" customWidth="1"/>
    <col min="1303" max="1303" width="15.7109375" style="45" customWidth="1"/>
    <col min="1304" max="1304" width="37.5703125" style="45" customWidth="1"/>
    <col min="1305" max="1526" width="11.42578125" style="45"/>
    <col min="1527" max="1527" width="10.5703125" style="45" customWidth="1"/>
    <col min="1528" max="1528" width="4.85546875" style="45" customWidth="1"/>
    <col min="1529" max="1529" width="32.42578125" style="45" customWidth="1"/>
    <col min="1530" max="1530" width="9.85546875" style="45" customWidth="1"/>
    <col min="1531" max="1531" width="10.140625" style="45" customWidth="1"/>
    <col min="1532" max="1532" width="12.28515625" style="45" customWidth="1"/>
    <col min="1533" max="1533" width="15.42578125" style="45" customWidth="1"/>
    <col min="1534" max="1534" width="11.85546875" style="45" customWidth="1"/>
    <col min="1535" max="1535" width="13.28515625" style="45" customWidth="1"/>
    <col min="1536" max="1536" width="15.28515625" style="45" customWidth="1"/>
    <col min="1537" max="1537" width="11.85546875" style="45" customWidth="1"/>
    <col min="1538" max="1538" width="6.140625" style="45" customWidth="1"/>
    <col min="1539" max="1539" width="11.85546875" style="45" customWidth="1"/>
    <col min="1540" max="1540" width="9.42578125" style="45" customWidth="1"/>
    <col min="1541" max="1541" width="14.7109375" style="45" customWidth="1"/>
    <col min="1542" max="1542" width="11.5703125" style="45" customWidth="1"/>
    <col min="1543" max="1543" width="0.42578125" style="45" customWidth="1"/>
    <col min="1544" max="1544" width="10.5703125" style="45" bestFit="1" customWidth="1"/>
    <col min="1545" max="1545" width="12.28515625" style="45" customWidth="1"/>
    <col min="1546" max="1546" width="12.5703125" style="45" customWidth="1"/>
    <col min="1547" max="1547" width="10.5703125" style="45" customWidth="1"/>
    <col min="1548" max="1548" width="10.140625" style="45" customWidth="1"/>
    <col min="1549" max="1549" width="8.42578125" style="45" customWidth="1"/>
    <col min="1550" max="1550" width="18.85546875" style="45" customWidth="1"/>
    <col min="1551" max="1551" width="10.28515625" style="45" customWidth="1"/>
    <col min="1552" max="1552" width="11.42578125" style="45"/>
    <col min="1553" max="1553" width="12.140625" style="45" customWidth="1"/>
    <col min="1554" max="1554" width="10.5703125" style="45" customWidth="1"/>
    <col min="1555" max="1555" width="12.42578125" style="45" customWidth="1"/>
    <col min="1556" max="1556" width="15.140625" style="45" customWidth="1"/>
    <col min="1557" max="1557" width="13.5703125" style="45" customWidth="1"/>
    <col min="1558" max="1558" width="13.140625" style="45" customWidth="1"/>
    <col min="1559" max="1559" width="15.7109375" style="45" customWidth="1"/>
    <col min="1560" max="1560" width="37.5703125" style="45" customWidth="1"/>
    <col min="1561" max="1782" width="11.42578125" style="45"/>
    <col min="1783" max="1783" width="10.5703125" style="45" customWidth="1"/>
    <col min="1784" max="1784" width="4.85546875" style="45" customWidth="1"/>
    <col min="1785" max="1785" width="32.42578125" style="45" customWidth="1"/>
    <col min="1786" max="1786" width="9.85546875" style="45" customWidth="1"/>
    <col min="1787" max="1787" width="10.140625" style="45" customWidth="1"/>
    <col min="1788" max="1788" width="12.28515625" style="45" customWidth="1"/>
    <col min="1789" max="1789" width="15.42578125" style="45" customWidth="1"/>
    <col min="1790" max="1790" width="11.85546875" style="45" customWidth="1"/>
    <col min="1791" max="1791" width="13.28515625" style="45" customWidth="1"/>
    <col min="1792" max="1792" width="15.28515625" style="45" customWidth="1"/>
    <col min="1793" max="1793" width="11.85546875" style="45" customWidth="1"/>
    <col min="1794" max="1794" width="6.140625" style="45" customWidth="1"/>
    <col min="1795" max="1795" width="11.85546875" style="45" customWidth="1"/>
    <col min="1796" max="1796" width="9.42578125" style="45" customWidth="1"/>
    <col min="1797" max="1797" width="14.7109375" style="45" customWidth="1"/>
    <col min="1798" max="1798" width="11.5703125" style="45" customWidth="1"/>
    <col min="1799" max="1799" width="0.42578125" style="45" customWidth="1"/>
    <col min="1800" max="1800" width="10.5703125" style="45" bestFit="1" customWidth="1"/>
    <col min="1801" max="1801" width="12.28515625" style="45" customWidth="1"/>
    <col min="1802" max="1802" width="12.5703125" style="45" customWidth="1"/>
    <col min="1803" max="1803" width="10.5703125" style="45" customWidth="1"/>
    <col min="1804" max="1804" width="10.140625" style="45" customWidth="1"/>
    <col min="1805" max="1805" width="8.42578125" style="45" customWidth="1"/>
    <col min="1806" max="1806" width="18.85546875" style="45" customWidth="1"/>
    <col min="1807" max="1807" width="10.28515625" style="45" customWidth="1"/>
    <col min="1808" max="1808" width="11.42578125" style="45"/>
    <col min="1809" max="1809" width="12.140625" style="45" customWidth="1"/>
    <col min="1810" max="1810" width="10.5703125" style="45" customWidth="1"/>
    <col min="1811" max="1811" width="12.42578125" style="45" customWidth="1"/>
    <col min="1812" max="1812" width="15.140625" style="45" customWidth="1"/>
    <col min="1813" max="1813" width="13.5703125" style="45" customWidth="1"/>
    <col min="1814" max="1814" width="13.140625" style="45" customWidth="1"/>
    <col min="1815" max="1815" width="15.7109375" style="45" customWidth="1"/>
    <col min="1816" max="1816" width="37.5703125" style="45" customWidth="1"/>
    <col min="1817" max="2038" width="11.42578125" style="45"/>
    <col min="2039" max="2039" width="10.5703125" style="45" customWidth="1"/>
    <col min="2040" max="2040" width="4.85546875" style="45" customWidth="1"/>
    <col min="2041" max="2041" width="32.42578125" style="45" customWidth="1"/>
    <col min="2042" max="2042" width="9.85546875" style="45" customWidth="1"/>
    <col min="2043" max="2043" width="10.140625" style="45" customWidth="1"/>
    <col min="2044" max="2044" width="12.28515625" style="45" customWidth="1"/>
    <col min="2045" max="2045" width="15.42578125" style="45" customWidth="1"/>
    <col min="2046" max="2046" width="11.85546875" style="45" customWidth="1"/>
    <col min="2047" max="2047" width="13.28515625" style="45" customWidth="1"/>
    <col min="2048" max="2048" width="15.28515625" style="45" customWidth="1"/>
    <col min="2049" max="2049" width="11.85546875" style="45" customWidth="1"/>
    <col min="2050" max="2050" width="6.140625" style="45" customWidth="1"/>
    <col min="2051" max="2051" width="11.85546875" style="45" customWidth="1"/>
    <col min="2052" max="2052" width="9.42578125" style="45" customWidth="1"/>
    <col min="2053" max="2053" width="14.7109375" style="45" customWidth="1"/>
    <col min="2054" max="2054" width="11.5703125" style="45" customWidth="1"/>
    <col min="2055" max="2055" width="0.42578125" style="45" customWidth="1"/>
    <col min="2056" max="2056" width="10.5703125" style="45" bestFit="1" customWidth="1"/>
    <col min="2057" max="2057" width="12.28515625" style="45" customWidth="1"/>
    <col min="2058" max="2058" width="12.5703125" style="45" customWidth="1"/>
    <col min="2059" max="2059" width="10.5703125" style="45" customWidth="1"/>
    <col min="2060" max="2060" width="10.140625" style="45" customWidth="1"/>
    <col min="2061" max="2061" width="8.42578125" style="45" customWidth="1"/>
    <col min="2062" max="2062" width="18.85546875" style="45" customWidth="1"/>
    <col min="2063" max="2063" width="10.28515625" style="45" customWidth="1"/>
    <col min="2064" max="2064" width="11.42578125" style="45"/>
    <col min="2065" max="2065" width="12.140625" style="45" customWidth="1"/>
    <col min="2066" max="2066" width="10.5703125" style="45" customWidth="1"/>
    <col min="2067" max="2067" width="12.42578125" style="45" customWidth="1"/>
    <col min="2068" max="2068" width="15.140625" style="45" customWidth="1"/>
    <col min="2069" max="2069" width="13.5703125" style="45" customWidth="1"/>
    <col min="2070" max="2070" width="13.140625" style="45" customWidth="1"/>
    <col min="2071" max="2071" width="15.7109375" style="45" customWidth="1"/>
    <col min="2072" max="2072" width="37.5703125" style="45" customWidth="1"/>
    <col min="2073" max="2294" width="11.42578125" style="45"/>
    <col min="2295" max="2295" width="10.5703125" style="45" customWidth="1"/>
    <col min="2296" max="2296" width="4.85546875" style="45" customWidth="1"/>
    <col min="2297" max="2297" width="32.42578125" style="45" customWidth="1"/>
    <col min="2298" max="2298" width="9.85546875" style="45" customWidth="1"/>
    <col min="2299" max="2299" width="10.140625" style="45" customWidth="1"/>
    <col min="2300" max="2300" width="12.28515625" style="45" customWidth="1"/>
    <col min="2301" max="2301" width="15.42578125" style="45" customWidth="1"/>
    <col min="2302" max="2302" width="11.85546875" style="45" customWidth="1"/>
    <col min="2303" max="2303" width="13.28515625" style="45" customWidth="1"/>
    <col min="2304" max="2304" width="15.28515625" style="45" customWidth="1"/>
    <col min="2305" max="2305" width="11.85546875" style="45" customWidth="1"/>
    <col min="2306" max="2306" width="6.140625" style="45" customWidth="1"/>
    <col min="2307" max="2307" width="11.85546875" style="45" customWidth="1"/>
    <col min="2308" max="2308" width="9.42578125" style="45" customWidth="1"/>
    <col min="2309" max="2309" width="14.7109375" style="45" customWidth="1"/>
    <col min="2310" max="2310" width="11.5703125" style="45" customWidth="1"/>
    <col min="2311" max="2311" width="0.42578125" style="45" customWidth="1"/>
    <col min="2312" max="2312" width="10.5703125" style="45" bestFit="1" customWidth="1"/>
    <col min="2313" max="2313" width="12.28515625" style="45" customWidth="1"/>
    <col min="2314" max="2314" width="12.5703125" style="45" customWidth="1"/>
    <col min="2315" max="2315" width="10.5703125" style="45" customWidth="1"/>
    <col min="2316" max="2316" width="10.140625" style="45" customWidth="1"/>
    <col min="2317" max="2317" width="8.42578125" style="45" customWidth="1"/>
    <col min="2318" max="2318" width="18.85546875" style="45" customWidth="1"/>
    <col min="2319" max="2319" width="10.28515625" style="45" customWidth="1"/>
    <col min="2320" max="2320" width="11.42578125" style="45"/>
    <col min="2321" max="2321" width="12.140625" style="45" customWidth="1"/>
    <col min="2322" max="2322" width="10.5703125" style="45" customWidth="1"/>
    <col min="2323" max="2323" width="12.42578125" style="45" customWidth="1"/>
    <col min="2324" max="2324" width="15.140625" style="45" customWidth="1"/>
    <col min="2325" max="2325" width="13.5703125" style="45" customWidth="1"/>
    <col min="2326" max="2326" width="13.140625" style="45" customWidth="1"/>
    <col min="2327" max="2327" width="15.7109375" style="45" customWidth="1"/>
    <col min="2328" max="2328" width="37.5703125" style="45" customWidth="1"/>
    <col min="2329" max="2550" width="11.42578125" style="45"/>
    <col min="2551" max="2551" width="10.5703125" style="45" customWidth="1"/>
    <col min="2552" max="2552" width="4.85546875" style="45" customWidth="1"/>
    <col min="2553" max="2553" width="32.42578125" style="45" customWidth="1"/>
    <col min="2554" max="2554" width="9.85546875" style="45" customWidth="1"/>
    <col min="2555" max="2555" width="10.140625" style="45" customWidth="1"/>
    <col min="2556" max="2556" width="12.28515625" style="45" customWidth="1"/>
    <col min="2557" max="2557" width="15.42578125" style="45" customWidth="1"/>
    <col min="2558" max="2558" width="11.85546875" style="45" customWidth="1"/>
    <col min="2559" max="2559" width="13.28515625" style="45" customWidth="1"/>
    <col min="2560" max="2560" width="15.28515625" style="45" customWidth="1"/>
    <col min="2561" max="2561" width="11.85546875" style="45" customWidth="1"/>
    <col min="2562" max="2562" width="6.140625" style="45" customWidth="1"/>
    <col min="2563" max="2563" width="11.85546875" style="45" customWidth="1"/>
    <col min="2564" max="2564" width="9.42578125" style="45" customWidth="1"/>
    <col min="2565" max="2565" width="14.7109375" style="45" customWidth="1"/>
    <col min="2566" max="2566" width="11.5703125" style="45" customWidth="1"/>
    <col min="2567" max="2567" width="0.42578125" style="45" customWidth="1"/>
    <col min="2568" max="2568" width="10.5703125" style="45" bestFit="1" customWidth="1"/>
    <col min="2569" max="2569" width="12.28515625" style="45" customWidth="1"/>
    <col min="2570" max="2570" width="12.5703125" style="45" customWidth="1"/>
    <col min="2571" max="2571" width="10.5703125" style="45" customWidth="1"/>
    <col min="2572" max="2572" width="10.140625" style="45" customWidth="1"/>
    <col min="2573" max="2573" width="8.42578125" style="45" customWidth="1"/>
    <col min="2574" max="2574" width="18.85546875" style="45" customWidth="1"/>
    <col min="2575" max="2575" width="10.28515625" style="45" customWidth="1"/>
    <col min="2576" max="2576" width="11.42578125" style="45"/>
    <col min="2577" max="2577" width="12.140625" style="45" customWidth="1"/>
    <col min="2578" max="2578" width="10.5703125" style="45" customWidth="1"/>
    <col min="2579" max="2579" width="12.42578125" style="45" customWidth="1"/>
    <col min="2580" max="2580" width="15.140625" style="45" customWidth="1"/>
    <col min="2581" max="2581" width="13.5703125" style="45" customWidth="1"/>
    <col min="2582" max="2582" width="13.140625" style="45" customWidth="1"/>
    <col min="2583" max="2583" width="15.7109375" style="45" customWidth="1"/>
    <col min="2584" max="2584" width="37.5703125" style="45" customWidth="1"/>
    <col min="2585" max="2806" width="11.42578125" style="45"/>
    <col min="2807" max="2807" width="10.5703125" style="45" customWidth="1"/>
    <col min="2808" max="2808" width="4.85546875" style="45" customWidth="1"/>
    <col min="2809" max="2809" width="32.42578125" style="45" customWidth="1"/>
    <col min="2810" max="2810" width="9.85546875" style="45" customWidth="1"/>
    <col min="2811" max="2811" width="10.140625" style="45" customWidth="1"/>
    <col min="2812" max="2812" width="12.28515625" style="45" customWidth="1"/>
    <col min="2813" max="2813" width="15.42578125" style="45" customWidth="1"/>
    <col min="2814" max="2814" width="11.85546875" style="45" customWidth="1"/>
    <col min="2815" max="2815" width="13.28515625" style="45" customWidth="1"/>
    <col min="2816" max="2816" width="15.28515625" style="45" customWidth="1"/>
    <col min="2817" max="2817" width="11.85546875" style="45" customWidth="1"/>
    <col min="2818" max="2818" width="6.140625" style="45" customWidth="1"/>
    <col min="2819" max="2819" width="11.85546875" style="45" customWidth="1"/>
    <col min="2820" max="2820" width="9.42578125" style="45" customWidth="1"/>
    <col min="2821" max="2821" width="14.7109375" style="45" customWidth="1"/>
    <col min="2822" max="2822" width="11.5703125" style="45" customWidth="1"/>
    <col min="2823" max="2823" width="0.42578125" style="45" customWidth="1"/>
    <col min="2824" max="2824" width="10.5703125" style="45" bestFit="1" customWidth="1"/>
    <col min="2825" max="2825" width="12.28515625" style="45" customWidth="1"/>
    <col min="2826" max="2826" width="12.5703125" style="45" customWidth="1"/>
    <col min="2827" max="2827" width="10.5703125" style="45" customWidth="1"/>
    <col min="2828" max="2828" width="10.140625" style="45" customWidth="1"/>
    <col min="2829" max="2829" width="8.42578125" style="45" customWidth="1"/>
    <col min="2830" max="2830" width="18.85546875" style="45" customWidth="1"/>
    <col min="2831" max="2831" width="10.28515625" style="45" customWidth="1"/>
    <col min="2832" max="2832" width="11.42578125" style="45"/>
    <col min="2833" max="2833" width="12.140625" style="45" customWidth="1"/>
    <col min="2834" max="2834" width="10.5703125" style="45" customWidth="1"/>
    <col min="2835" max="2835" width="12.42578125" style="45" customWidth="1"/>
    <col min="2836" max="2836" width="15.140625" style="45" customWidth="1"/>
    <col min="2837" max="2837" width="13.5703125" style="45" customWidth="1"/>
    <col min="2838" max="2838" width="13.140625" style="45" customWidth="1"/>
    <col min="2839" max="2839" width="15.7109375" style="45" customWidth="1"/>
    <col min="2840" max="2840" width="37.5703125" style="45" customWidth="1"/>
    <col min="2841" max="3062" width="11.42578125" style="45"/>
    <col min="3063" max="3063" width="10.5703125" style="45" customWidth="1"/>
    <col min="3064" max="3064" width="4.85546875" style="45" customWidth="1"/>
    <col min="3065" max="3065" width="32.42578125" style="45" customWidth="1"/>
    <col min="3066" max="3066" width="9.85546875" style="45" customWidth="1"/>
    <col min="3067" max="3067" width="10.140625" style="45" customWidth="1"/>
    <col min="3068" max="3068" width="12.28515625" style="45" customWidth="1"/>
    <col min="3069" max="3069" width="15.42578125" style="45" customWidth="1"/>
    <col min="3070" max="3070" width="11.85546875" style="45" customWidth="1"/>
    <col min="3071" max="3071" width="13.28515625" style="45" customWidth="1"/>
    <col min="3072" max="3072" width="15.28515625" style="45" customWidth="1"/>
    <col min="3073" max="3073" width="11.85546875" style="45" customWidth="1"/>
    <col min="3074" max="3074" width="6.140625" style="45" customWidth="1"/>
    <col min="3075" max="3075" width="11.85546875" style="45" customWidth="1"/>
    <col min="3076" max="3076" width="9.42578125" style="45" customWidth="1"/>
    <col min="3077" max="3077" width="14.7109375" style="45" customWidth="1"/>
    <col min="3078" max="3078" width="11.5703125" style="45" customWidth="1"/>
    <col min="3079" max="3079" width="0.42578125" style="45" customWidth="1"/>
    <col min="3080" max="3080" width="10.5703125" style="45" bestFit="1" customWidth="1"/>
    <col min="3081" max="3081" width="12.28515625" style="45" customWidth="1"/>
    <col min="3082" max="3082" width="12.5703125" style="45" customWidth="1"/>
    <col min="3083" max="3083" width="10.5703125" style="45" customWidth="1"/>
    <col min="3084" max="3084" width="10.140625" style="45" customWidth="1"/>
    <col min="3085" max="3085" width="8.42578125" style="45" customWidth="1"/>
    <col min="3086" max="3086" width="18.85546875" style="45" customWidth="1"/>
    <col min="3087" max="3087" width="10.28515625" style="45" customWidth="1"/>
    <col min="3088" max="3088" width="11.42578125" style="45"/>
    <col min="3089" max="3089" width="12.140625" style="45" customWidth="1"/>
    <col min="3090" max="3090" width="10.5703125" style="45" customWidth="1"/>
    <col min="3091" max="3091" width="12.42578125" style="45" customWidth="1"/>
    <col min="3092" max="3092" width="15.140625" style="45" customWidth="1"/>
    <col min="3093" max="3093" width="13.5703125" style="45" customWidth="1"/>
    <col min="3094" max="3094" width="13.140625" style="45" customWidth="1"/>
    <col min="3095" max="3095" width="15.7109375" style="45" customWidth="1"/>
    <col min="3096" max="3096" width="37.5703125" style="45" customWidth="1"/>
    <col min="3097" max="3318" width="11.42578125" style="45"/>
    <col min="3319" max="3319" width="10.5703125" style="45" customWidth="1"/>
    <col min="3320" max="3320" width="4.85546875" style="45" customWidth="1"/>
    <col min="3321" max="3321" width="32.42578125" style="45" customWidth="1"/>
    <col min="3322" max="3322" width="9.85546875" style="45" customWidth="1"/>
    <col min="3323" max="3323" width="10.140625" style="45" customWidth="1"/>
    <col min="3324" max="3324" width="12.28515625" style="45" customWidth="1"/>
    <col min="3325" max="3325" width="15.42578125" style="45" customWidth="1"/>
    <col min="3326" max="3326" width="11.85546875" style="45" customWidth="1"/>
    <col min="3327" max="3327" width="13.28515625" style="45" customWidth="1"/>
    <col min="3328" max="3328" width="15.28515625" style="45" customWidth="1"/>
    <col min="3329" max="3329" width="11.85546875" style="45" customWidth="1"/>
    <col min="3330" max="3330" width="6.140625" style="45" customWidth="1"/>
    <col min="3331" max="3331" width="11.85546875" style="45" customWidth="1"/>
    <col min="3332" max="3332" width="9.42578125" style="45" customWidth="1"/>
    <col min="3333" max="3333" width="14.7109375" style="45" customWidth="1"/>
    <col min="3334" max="3334" width="11.5703125" style="45" customWidth="1"/>
    <col min="3335" max="3335" width="0.42578125" style="45" customWidth="1"/>
    <col min="3336" max="3336" width="10.5703125" style="45" bestFit="1" customWidth="1"/>
    <col min="3337" max="3337" width="12.28515625" style="45" customWidth="1"/>
    <col min="3338" max="3338" width="12.5703125" style="45" customWidth="1"/>
    <col min="3339" max="3339" width="10.5703125" style="45" customWidth="1"/>
    <col min="3340" max="3340" width="10.140625" style="45" customWidth="1"/>
    <col min="3341" max="3341" width="8.42578125" style="45" customWidth="1"/>
    <col min="3342" max="3342" width="18.85546875" style="45" customWidth="1"/>
    <col min="3343" max="3343" width="10.28515625" style="45" customWidth="1"/>
    <col min="3344" max="3344" width="11.42578125" style="45"/>
    <col min="3345" max="3345" width="12.140625" style="45" customWidth="1"/>
    <col min="3346" max="3346" width="10.5703125" style="45" customWidth="1"/>
    <col min="3347" max="3347" width="12.42578125" style="45" customWidth="1"/>
    <col min="3348" max="3348" width="15.140625" style="45" customWidth="1"/>
    <col min="3349" max="3349" width="13.5703125" style="45" customWidth="1"/>
    <col min="3350" max="3350" width="13.140625" style="45" customWidth="1"/>
    <col min="3351" max="3351" width="15.7109375" style="45" customWidth="1"/>
    <col min="3352" max="3352" width="37.5703125" style="45" customWidth="1"/>
    <col min="3353" max="3574" width="11.42578125" style="45"/>
    <col min="3575" max="3575" width="10.5703125" style="45" customWidth="1"/>
    <col min="3576" max="3576" width="4.85546875" style="45" customWidth="1"/>
    <col min="3577" max="3577" width="32.42578125" style="45" customWidth="1"/>
    <col min="3578" max="3578" width="9.85546875" style="45" customWidth="1"/>
    <col min="3579" max="3579" width="10.140625" style="45" customWidth="1"/>
    <col min="3580" max="3580" width="12.28515625" style="45" customWidth="1"/>
    <col min="3581" max="3581" width="15.42578125" style="45" customWidth="1"/>
    <col min="3582" max="3582" width="11.85546875" style="45" customWidth="1"/>
    <col min="3583" max="3583" width="13.28515625" style="45" customWidth="1"/>
    <col min="3584" max="3584" width="15.28515625" style="45" customWidth="1"/>
    <col min="3585" max="3585" width="11.85546875" style="45" customWidth="1"/>
    <col min="3586" max="3586" width="6.140625" style="45" customWidth="1"/>
    <col min="3587" max="3587" width="11.85546875" style="45" customWidth="1"/>
    <col min="3588" max="3588" width="9.42578125" style="45" customWidth="1"/>
    <col min="3589" max="3589" width="14.7109375" style="45" customWidth="1"/>
    <col min="3590" max="3590" width="11.5703125" style="45" customWidth="1"/>
    <col min="3591" max="3591" width="0.42578125" style="45" customWidth="1"/>
    <col min="3592" max="3592" width="10.5703125" style="45" bestFit="1" customWidth="1"/>
    <col min="3593" max="3593" width="12.28515625" style="45" customWidth="1"/>
    <col min="3594" max="3594" width="12.5703125" style="45" customWidth="1"/>
    <col min="3595" max="3595" width="10.5703125" style="45" customWidth="1"/>
    <col min="3596" max="3596" width="10.140625" style="45" customWidth="1"/>
    <col min="3597" max="3597" width="8.42578125" style="45" customWidth="1"/>
    <col min="3598" max="3598" width="18.85546875" style="45" customWidth="1"/>
    <col min="3599" max="3599" width="10.28515625" style="45" customWidth="1"/>
    <col min="3600" max="3600" width="11.42578125" style="45"/>
    <col min="3601" max="3601" width="12.140625" style="45" customWidth="1"/>
    <col min="3602" max="3602" width="10.5703125" style="45" customWidth="1"/>
    <col min="3603" max="3603" width="12.42578125" style="45" customWidth="1"/>
    <col min="3604" max="3604" width="15.140625" style="45" customWidth="1"/>
    <col min="3605" max="3605" width="13.5703125" style="45" customWidth="1"/>
    <col min="3606" max="3606" width="13.140625" style="45" customWidth="1"/>
    <col min="3607" max="3607" width="15.7109375" style="45" customWidth="1"/>
    <col min="3608" max="3608" width="37.5703125" style="45" customWidth="1"/>
    <col min="3609" max="3830" width="11.42578125" style="45"/>
    <col min="3831" max="3831" width="10.5703125" style="45" customWidth="1"/>
    <col min="3832" max="3832" width="4.85546875" style="45" customWidth="1"/>
    <col min="3833" max="3833" width="32.42578125" style="45" customWidth="1"/>
    <col min="3834" max="3834" width="9.85546875" style="45" customWidth="1"/>
    <col min="3835" max="3835" width="10.140625" style="45" customWidth="1"/>
    <col min="3836" max="3836" width="12.28515625" style="45" customWidth="1"/>
    <col min="3837" max="3837" width="15.42578125" style="45" customWidth="1"/>
    <col min="3838" max="3838" width="11.85546875" style="45" customWidth="1"/>
    <col min="3839" max="3839" width="13.28515625" style="45" customWidth="1"/>
    <col min="3840" max="3840" width="15.28515625" style="45" customWidth="1"/>
    <col min="3841" max="3841" width="11.85546875" style="45" customWidth="1"/>
    <col min="3842" max="3842" width="6.140625" style="45" customWidth="1"/>
    <col min="3843" max="3843" width="11.85546875" style="45" customWidth="1"/>
    <col min="3844" max="3844" width="9.42578125" style="45" customWidth="1"/>
    <col min="3845" max="3845" width="14.7109375" style="45" customWidth="1"/>
    <col min="3846" max="3846" width="11.5703125" style="45" customWidth="1"/>
    <col min="3847" max="3847" width="0.42578125" style="45" customWidth="1"/>
    <col min="3848" max="3848" width="10.5703125" style="45" bestFit="1" customWidth="1"/>
    <col min="3849" max="3849" width="12.28515625" style="45" customWidth="1"/>
    <col min="3850" max="3850" width="12.5703125" style="45" customWidth="1"/>
    <col min="3851" max="3851" width="10.5703125" style="45" customWidth="1"/>
    <col min="3852" max="3852" width="10.140625" style="45" customWidth="1"/>
    <col min="3853" max="3853" width="8.42578125" style="45" customWidth="1"/>
    <col min="3854" max="3854" width="18.85546875" style="45" customWidth="1"/>
    <col min="3855" max="3855" width="10.28515625" style="45" customWidth="1"/>
    <col min="3856" max="3856" width="11.42578125" style="45"/>
    <col min="3857" max="3857" width="12.140625" style="45" customWidth="1"/>
    <col min="3858" max="3858" width="10.5703125" style="45" customWidth="1"/>
    <col min="3859" max="3859" width="12.42578125" style="45" customWidth="1"/>
    <col min="3860" max="3860" width="15.140625" style="45" customWidth="1"/>
    <col min="3861" max="3861" width="13.5703125" style="45" customWidth="1"/>
    <col min="3862" max="3862" width="13.140625" style="45" customWidth="1"/>
    <col min="3863" max="3863" width="15.7109375" style="45" customWidth="1"/>
    <col min="3864" max="3864" width="37.5703125" style="45" customWidth="1"/>
    <col min="3865" max="4086" width="11.42578125" style="45"/>
    <col min="4087" max="4087" width="10.5703125" style="45" customWidth="1"/>
    <col min="4088" max="4088" width="4.85546875" style="45" customWidth="1"/>
    <col min="4089" max="4089" width="32.42578125" style="45" customWidth="1"/>
    <col min="4090" max="4090" width="9.85546875" style="45" customWidth="1"/>
    <col min="4091" max="4091" width="10.140625" style="45" customWidth="1"/>
    <col min="4092" max="4092" width="12.28515625" style="45" customWidth="1"/>
    <col min="4093" max="4093" width="15.42578125" style="45" customWidth="1"/>
    <col min="4094" max="4094" width="11.85546875" style="45" customWidth="1"/>
    <col min="4095" max="4095" width="13.28515625" style="45" customWidth="1"/>
    <col min="4096" max="4096" width="15.28515625" style="45" customWidth="1"/>
    <col min="4097" max="4097" width="11.85546875" style="45" customWidth="1"/>
    <col min="4098" max="4098" width="6.140625" style="45" customWidth="1"/>
    <col min="4099" max="4099" width="11.85546875" style="45" customWidth="1"/>
    <col min="4100" max="4100" width="9.42578125" style="45" customWidth="1"/>
    <col min="4101" max="4101" width="14.7109375" style="45" customWidth="1"/>
    <col min="4102" max="4102" width="11.5703125" style="45" customWidth="1"/>
    <col min="4103" max="4103" width="0.42578125" style="45" customWidth="1"/>
    <col min="4104" max="4104" width="10.5703125" style="45" bestFit="1" customWidth="1"/>
    <col min="4105" max="4105" width="12.28515625" style="45" customWidth="1"/>
    <col min="4106" max="4106" width="12.5703125" style="45" customWidth="1"/>
    <col min="4107" max="4107" width="10.5703125" style="45" customWidth="1"/>
    <col min="4108" max="4108" width="10.140625" style="45" customWidth="1"/>
    <col min="4109" max="4109" width="8.42578125" style="45" customWidth="1"/>
    <col min="4110" max="4110" width="18.85546875" style="45" customWidth="1"/>
    <col min="4111" max="4111" width="10.28515625" style="45" customWidth="1"/>
    <col min="4112" max="4112" width="11.42578125" style="45"/>
    <col min="4113" max="4113" width="12.140625" style="45" customWidth="1"/>
    <col min="4114" max="4114" width="10.5703125" style="45" customWidth="1"/>
    <col min="4115" max="4115" width="12.42578125" style="45" customWidth="1"/>
    <col min="4116" max="4116" width="15.140625" style="45" customWidth="1"/>
    <col min="4117" max="4117" width="13.5703125" style="45" customWidth="1"/>
    <col min="4118" max="4118" width="13.140625" style="45" customWidth="1"/>
    <col min="4119" max="4119" width="15.7109375" style="45" customWidth="1"/>
    <col min="4120" max="4120" width="37.5703125" style="45" customWidth="1"/>
    <col min="4121" max="4342" width="11.42578125" style="45"/>
    <col min="4343" max="4343" width="10.5703125" style="45" customWidth="1"/>
    <col min="4344" max="4344" width="4.85546875" style="45" customWidth="1"/>
    <col min="4345" max="4345" width="32.42578125" style="45" customWidth="1"/>
    <col min="4346" max="4346" width="9.85546875" style="45" customWidth="1"/>
    <col min="4347" max="4347" width="10.140625" style="45" customWidth="1"/>
    <col min="4348" max="4348" width="12.28515625" style="45" customWidth="1"/>
    <col min="4349" max="4349" width="15.42578125" style="45" customWidth="1"/>
    <col min="4350" max="4350" width="11.85546875" style="45" customWidth="1"/>
    <col min="4351" max="4351" width="13.28515625" style="45" customWidth="1"/>
    <col min="4352" max="4352" width="15.28515625" style="45" customWidth="1"/>
    <col min="4353" max="4353" width="11.85546875" style="45" customWidth="1"/>
    <col min="4354" max="4354" width="6.140625" style="45" customWidth="1"/>
    <col min="4355" max="4355" width="11.85546875" style="45" customWidth="1"/>
    <col min="4356" max="4356" width="9.42578125" style="45" customWidth="1"/>
    <col min="4357" max="4357" width="14.7109375" style="45" customWidth="1"/>
    <col min="4358" max="4358" width="11.5703125" style="45" customWidth="1"/>
    <col min="4359" max="4359" width="0.42578125" style="45" customWidth="1"/>
    <col min="4360" max="4360" width="10.5703125" style="45" bestFit="1" customWidth="1"/>
    <col min="4361" max="4361" width="12.28515625" style="45" customWidth="1"/>
    <col min="4362" max="4362" width="12.5703125" style="45" customWidth="1"/>
    <col min="4363" max="4363" width="10.5703125" style="45" customWidth="1"/>
    <col min="4364" max="4364" width="10.140625" style="45" customWidth="1"/>
    <col min="4365" max="4365" width="8.42578125" style="45" customWidth="1"/>
    <col min="4366" max="4366" width="18.85546875" style="45" customWidth="1"/>
    <col min="4367" max="4367" width="10.28515625" style="45" customWidth="1"/>
    <col min="4368" max="4368" width="11.42578125" style="45"/>
    <col min="4369" max="4369" width="12.140625" style="45" customWidth="1"/>
    <col min="4370" max="4370" width="10.5703125" style="45" customWidth="1"/>
    <col min="4371" max="4371" width="12.42578125" style="45" customWidth="1"/>
    <col min="4372" max="4372" width="15.140625" style="45" customWidth="1"/>
    <col min="4373" max="4373" width="13.5703125" style="45" customWidth="1"/>
    <col min="4374" max="4374" width="13.140625" style="45" customWidth="1"/>
    <col min="4375" max="4375" width="15.7109375" style="45" customWidth="1"/>
    <col min="4376" max="4376" width="37.5703125" style="45" customWidth="1"/>
    <col min="4377" max="4598" width="11.42578125" style="45"/>
    <col min="4599" max="4599" width="10.5703125" style="45" customWidth="1"/>
    <col min="4600" max="4600" width="4.85546875" style="45" customWidth="1"/>
    <col min="4601" max="4601" width="32.42578125" style="45" customWidth="1"/>
    <col min="4602" max="4602" width="9.85546875" style="45" customWidth="1"/>
    <col min="4603" max="4603" width="10.140625" style="45" customWidth="1"/>
    <col min="4604" max="4604" width="12.28515625" style="45" customWidth="1"/>
    <col min="4605" max="4605" width="15.42578125" style="45" customWidth="1"/>
    <col min="4606" max="4606" width="11.85546875" style="45" customWidth="1"/>
    <col min="4607" max="4607" width="13.28515625" style="45" customWidth="1"/>
    <col min="4608" max="4608" width="15.28515625" style="45" customWidth="1"/>
    <col min="4609" max="4609" width="11.85546875" style="45" customWidth="1"/>
    <col min="4610" max="4610" width="6.140625" style="45" customWidth="1"/>
    <col min="4611" max="4611" width="11.85546875" style="45" customWidth="1"/>
    <col min="4612" max="4612" width="9.42578125" style="45" customWidth="1"/>
    <col min="4613" max="4613" width="14.7109375" style="45" customWidth="1"/>
    <col min="4614" max="4614" width="11.5703125" style="45" customWidth="1"/>
    <col min="4615" max="4615" width="0.42578125" style="45" customWidth="1"/>
    <col min="4616" max="4616" width="10.5703125" style="45" bestFit="1" customWidth="1"/>
    <col min="4617" max="4617" width="12.28515625" style="45" customWidth="1"/>
    <col min="4618" max="4618" width="12.5703125" style="45" customWidth="1"/>
    <col min="4619" max="4619" width="10.5703125" style="45" customWidth="1"/>
    <col min="4620" max="4620" width="10.140625" style="45" customWidth="1"/>
    <col min="4621" max="4621" width="8.42578125" style="45" customWidth="1"/>
    <col min="4622" max="4622" width="18.85546875" style="45" customWidth="1"/>
    <col min="4623" max="4623" width="10.28515625" style="45" customWidth="1"/>
    <col min="4624" max="4624" width="11.42578125" style="45"/>
    <col min="4625" max="4625" width="12.140625" style="45" customWidth="1"/>
    <col min="4626" max="4626" width="10.5703125" style="45" customWidth="1"/>
    <col min="4627" max="4627" width="12.42578125" style="45" customWidth="1"/>
    <col min="4628" max="4628" width="15.140625" style="45" customWidth="1"/>
    <col min="4629" max="4629" width="13.5703125" style="45" customWidth="1"/>
    <col min="4630" max="4630" width="13.140625" style="45" customWidth="1"/>
    <col min="4631" max="4631" width="15.7109375" style="45" customWidth="1"/>
    <col min="4632" max="4632" width="37.5703125" style="45" customWidth="1"/>
    <col min="4633" max="4854" width="11.42578125" style="45"/>
    <col min="4855" max="4855" width="10.5703125" style="45" customWidth="1"/>
    <col min="4856" max="4856" width="4.85546875" style="45" customWidth="1"/>
    <col min="4857" max="4857" width="32.42578125" style="45" customWidth="1"/>
    <col min="4858" max="4858" width="9.85546875" style="45" customWidth="1"/>
    <col min="4859" max="4859" width="10.140625" style="45" customWidth="1"/>
    <col min="4860" max="4860" width="12.28515625" style="45" customWidth="1"/>
    <col min="4861" max="4861" width="15.42578125" style="45" customWidth="1"/>
    <col min="4862" max="4862" width="11.85546875" style="45" customWidth="1"/>
    <col min="4863" max="4863" width="13.28515625" style="45" customWidth="1"/>
    <col min="4864" max="4864" width="15.28515625" style="45" customWidth="1"/>
    <col min="4865" max="4865" width="11.85546875" style="45" customWidth="1"/>
    <col min="4866" max="4866" width="6.140625" style="45" customWidth="1"/>
    <col min="4867" max="4867" width="11.85546875" style="45" customWidth="1"/>
    <col min="4868" max="4868" width="9.42578125" style="45" customWidth="1"/>
    <col min="4869" max="4869" width="14.7109375" style="45" customWidth="1"/>
    <col min="4870" max="4870" width="11.5703125" style="45" customWidth="1"/>
    <col min="4871" max="4871" width="0.42578125" style="45" customWidth="1"/>
    <col min="4872" max="4872" width="10.5703125" style="45" bestFit="1" customWidth="1"/>
    <col min="4873" max="4873" width="12.28515625" style="45" customWidth="1"/>
    <col min="4874" max="4874" width="12.5703125" style="45" customWidth="1"/>
    <col min="4875" max="4875" width="10.5703125" style="45" customWidth="1"/>
    <col min="4876" max="4876" width="10.140625" style="45" customWidth="1"/>
    <col min="4877" max="4877" width="8.42578125" style="45" customWidth="1"/>
    <col min="4878" max="4878" width="18.85546875" style="45" customWidth="1"/>
    <col min="4879" max="4879" width="10.28515625" style="45" customWidth="1"/>
    <col min="4880" max="4880" width="11.42578125" style="45"/>
    <col min="4881" max="4881" width="12.140625" style="45" customWidth="1"/>
    <col min="4882" max="4882" width="10.5703125" style="45" customWidth="1"/>
    <col min="4883" max="4883" width="12.42578125" style="45" customWidth="1"/>
    <col min="4884" max="4884" width="15.140625" style="45" customWidth="1"/>
    <col min="4885" max="4885" width="13.5703125" style="45" customWidth="1"/>
    <col min="4886" max="4886" width="13.140625" style="45" customWidth="1"/>
    <col min="4887" max="4887" width="15.7109375" style="45" customWidth="1"/>
    <col min="4888" max="4888" width="37.5703125" style="45" customWidth="1"/>
    <col min="4889" max="5110" width="11.42578125" style="45"/>
    <col min="5111" max="5111" width="10.5703125" style="45" customWidth="1"/>
    <col min="5112" max="5112" width="4.85546875" style="45" customWidth="1"/>
    <col min="5113" max="5113" width="32.42578125" style="45" customWidth="1"/>
    <col min="5114" max="5114" width="9.85546875" style="45" customWidth="1"/>
    <col min="5115" max="5115" width="10.140625" style="45" customWidth="1"/>
    <col min="5116" max="5116" width="12.28515625" style="45" customWidth="1"/>
    <col min="5117" max="5117" width="15.42578125" style="45" customWidth="1"/>
    <col min="5118" max="5118" width="11.85546875" style="45" customWidth="1"/>
    <col min="5119" max="5119" width="13.28515625" style="45" customWidth="1"/>
    <col min="5120" max="5120" width="15.28515625" style="45" customWidth="1"/>
    <col min="5121" max="5121" width="11.85546875" style="45" customWidth="1"/>
    <col min="5122" max="5122" width="6.140625" style="45" customWidth="1"/>
    <col min="5123" max="5123" width="11.85546875" style="45" customWidth="1"/>
    <col min="5124" max="5124" width="9.42578125" style="45" customWidth="1"/>
    <col min="5125" max="5125" width="14.7109375" style="45" customWidth="1"/>
    <col min="5126" max="5126" width="11.5703125" style="45" customWidth="1"/>
    <col min="5127" max="5127" width="0.42578125" style="45" customWidth="1"/>
    <col min="5128" max="5128" width="10.5703125" style="45" bestFit="1" customWidth="1"/>
    <col min="5129" max="5129" width="12.28515625" style="45" customWidth="1"/>
    <col min="5130" max="5130" width="12.5703125" style="45" customWidth="1"/>
    <col min="5131" max="5131" width="10.5703125" style="45" customWidth="1"/>
    <col min="5132" max="5132" width="10.140625" style="45" customWidth="1"/>
    <col min="5133" max="5133" width="8.42578125" style="45" customWidth="1"/>
    <col min="5134" max="5134" width="18.85546875" style="45" customWidth="1"/>
    <col min="5135" max="5135" width="10.28515625" style="45" customWidth="1"/>
    <col min="5136" max="5136" width="11.42578125" style="45"/>
    <col min="5137" max="5137" width="12.140625" style="45" customWidth="1"/>
    <col min="5138" max="5138" width="10.5703125" style="45" customWidth="1"/>
    <col min="5139" max="5139" width="12.42578125" style="45" customWidth="1"/>
    <col min="5140" max="5140" width="15.140625" style="45" customWidth="1"/>
    <col min="5141" max="5141" width="13.5703125" style="45" customWidth="1"/>
    <col min="5142" max="5142" width="13.140625" style="45" customWidth="1"/>
    <col min="5143" max="5143" width="15.7109375" style="45" customWidth="1"/>
    <col min="5144" max="5144" width="37.5703125" style="45" customWidth="1"/>
    <col min="5145" max="5366" width="11.42578125" style="45"/>
    <col min="5367" max="5367" width="10.5703125" style="45" customWidth="1"/>
    <col min="5368" max="5368" width="4.85546875" style="45" customWidth="1"/>
    <col min="5369" max="5369" width="32.42578125" style="45" customWidth="1"/>
    <col min="5370" max="5370" width="9.85546875" style="45" customWidth="1"/>
    <col min="5371" max="5371" width="10.140625" style="45" customWidth="1"/>
    <col min="5372" max="5372" width="12.28515625" style="45" customWidth="1"/>
    <col min="5373" max="5373" width="15.42578125" style="45" customWidth="1"/>
    <col min="5374" max="5374" width="11.85546875" style="45" customWidth="1"/>
    <col min="5375" max="5375" width="13.28515625" style="45" customWidth="1"/>
    <col min="5376" max="5376" width="15.28515625" style="45" customWidth="1"/>
    <col min="5377" max="5377" width="11.85546875" style="45" customWidth="1"/>
    <col min="5378" max="5378" width="6.140625" style="45" customWidth="1"/>
    <col min="5379" max="5379" width="11.85546875" style="45" customWidth="1"/>
    <col min="5380" max="5380" width="9.42578125" style="45" customWidth="1"/>
    <col min="5381" max="5381" width="14.7109375" style="45" customWidth="1"/>
    <col min="5382" max="5382" width="11.5703125" style="45" customWidth="1"/>
    <col min="5383" max="5383" width="0.42578125" style="45" customWidth="1"/>
    <col min="5384" max="5384" width="10.5703125" style="45" bestFit="1" customWidth="1"/>
    <col min="5385" max="5385" width="12.28515625" style="45" customWidth="1"/>
    <col min="5386" max="5386" width="12.5703125" style="45" customWidth="1"/>
    <col min="5387" max="5387" width="10.5703125" style="45" customWidth="1"/>
    <col min="5388" max="5388" width="10.140625" style="45" customWidth="1"/>
    <col min="5389" max="5389" width="8.42578125" style="45" customWidth="1"/>
    <col min="5390" max="5390" width="18.85546875" style="45" customWidth="1"/>
    <col min="5391" max="5391" width="10.28515625" style="45" customWidth="1"/>
    <col min="5392" max="5392" width="11.42578125" style="45"/>
    <col min="5393" max="5393" width="12.140625" style="45" customWidth="1"/>
    <col min="5394" max="5394" width="10.5703125" style="45" customWidth="1"/>
    <col min="5395" max="5395" width="12.42578125" style="45" customWidth="1"/>
    <col min="5396" max="5396" width="15.140625" style="45" customWidth="1"/>
    <col min="5397" max="5397" width="13.5703125" style="45" customWidth="1"/>
    <col min="5398" max="5398" width="13.140625" style="45" customWidth="1"/>
    <col min="5399" max="5399" width="15.7109375" style="45" customWidth="1"/>
    <col min="5400" max="5400" width="37.5703125" style="45" customWidth="1"/>
    <col min="5401" max="5622" width="11.42578125" style="45"/>
    <col min="5623" max="5623" width="10.5703125" style="45" customWidth="1"/>
    <col min="5624" max="5624" width="4.85546875" style="45" customWidth="1"/>
    <col min="5625" max="5625" width="32.42578125" style="45" customWidth="1"/>
    <col min="5626" max="5626" width="9.85546875" style="45" customWidth="1"/>
    <col min="5627" max="5627" width="10.140625" style="45" customWidth="1"/>
    <col min="5628" max="5628" width="12.28515625" style="45" customWidth="1"/>
    <col min="5629" max="5629" width="15.42578125" style="45" customWidth="1"/>
    <col min="5630" max="5630" width="11.85546875" style="45" customWidth="1"/>
    <col min="5631" max="5631" width="13.28515625" style="45" customWidth="1"/>
    <col min="5632" max="5632" width="15.28515625" style="45" customWidth="1"/>
    <col min="5633" max="5633" width="11.85546875" style="45" customWidth="1"/>
    <col min="5634" max="5634" width="6.140625" style="45" customWidth="1"/>
    <col min="5635" max="5635" width="11.85546875" style="45" customWidth="1"/>
    <col min="5636" max="5636" width="9.42578125" style="45" customWidth="1"/>
    <col min="5637" max="5637" width="14.7109375" style="45" customWidth="1"/>
    <col min="5638" max="5638" width="11.5703125" style="45" customWidth="1"/>
    <col min="5639" max="5639" width="0.42578125" style="45" customWidth="1"/>
    <col min="5640" max="5640" width="10.5703125" style="45" bestFit="1" customWidth="1"/>
    <col min="5641" max="5641" width="12.28515625" style="45" customWidth="1"/>
    <col min="5642" max="5642" width="12.5703125" style="45" customWidth="1"/>
    <col min="5643" max="5643" width="10.5703125" style="45" customWidth="1"/>
    <col min="5644" max="5644" width="10.140625" style="45" customWidth="1"/>
    <col min="5645" max="5645" width="8.42578125" style="45" customWidth="1"/>
    <col min="5646" max="5646" width="18.85546875" style="45" customWidth="1"/>
    <col min="5647" max="5647" width="10.28515625" style="45" customWidth="1"/>
    <col min="5648" max="5648" width="11.42578125" style="45"/>
    <col min="5649" max="5649" width="12.140625" style="45" customWidth="1"/>
    <col min="5650" max="5650" width="10.5703125" style="45" customWidth="1"/>
    <col min="5651" max="5651" width="12.42578125" style="45" customWidth="1"/>
    <col min="5652" max="5652" width="15.140625" style="45" customWidth="1"/>
    <col min="5653" max="5653" width="13.5703125" style="45" customWidth="1"/>
    <col min="5654" max="5654" width="13.140625" style="45" customWidth="1"/>
    <col min="5655" max="5655" width="15.7109375" style="45" customWidth="1"/>
    <col min="5656" max="5656" width="37.5703125" style="45" customWidth="1"/>
    <col min="5657" max="5878" width="11.42578125" style="45"/>
    <col min="5879" max="5879" width="10.5703125" style="45" customWidth="1"/>
    <col min="5880" max="5880" width="4.85546875" style="45" customWidth="1"/>
    <col min="5881" max="5881" width="32.42578125" style="45" customWidth="1"/>
    <col min="5882" max="5882" width="9.85546875" style="45" customWidth="1"/>
    <col min="5883" max="5883" width="10.140625" style="45" customWidth="1"/>
    <col min="5884" max="5884" width="12.28515625" style="45" customWidth="1"/>
    <col min="5885" max="5885" width="15.42578125" style="45" customWidth="1"/>
    <col min="5886" max="5886" width="11.85546875" style="45" customWidth="1"/>
    <col min="5887" max="5887" width="13.28515625" style="45" customWidth="1"/>
    <col min="5888" max="5888" width="15.28515625" style="45" customWidth="1"/>
    <col min="5889" max="5889" width="11.85546875" style="45" customWidth="1"/>
    <col min="5890" max="5890" width="6.140625" style="45" customWidth="1"/>
    <col min="5891" max="5891" width="11.85546875" style="45" customWidth="1"/>
    <col min="5892" max="5892" width="9.42578125" style="45" customWidth="1"/>
    <col min="5893" max="5893" width="14.7109375" style="45" customWidth="1"/>
    <col min="5894" max="5894" width="11.5703125" style="45" customWidth="1"/>
    <col min="5895" max="5895" width="0.42578125" style="45" customWidth="1"/>
    <col min="5896" max="5896" width="10.5703125" style="45" bestFit="1" customWidth="1"/>
    <col min="5897" max="5897" width="12.28515625" style="45" customWidth="1"/>
    <col min="5898" max="5898" width="12.5703125" style="45" customWidth="1"/>
    <col min="5899" max="5899" width="10.5703125" style="45" customWidth="1"/>
    <col min="5900" max="5900" width="10.140625" style="45" customWidth="1"/>
    <col min="5901" max="5901" width="8.42578125" style="45" customWidth="1"/>
    <col min="5902" max="5902" width="18.85546875" style="45" customWidth="1"/>
    <col min="5903" max="5903" width="10.28515625" style="45" customWidth="1"/>
    <col min="5904" max="5904" width="11.42578125" style="45"/>
    <col min="5905" max="5905" width="12.140625" style="45" customWidth="1"/>
    <col min="5906" max="5906" width="10.5703125" style="45" customWidth="1"/>
    <col min="5907" max="5907" width="12.42578125" style="45" customWidth="1"/>
    <col min="5908" max="5908" width="15.140625" style="45" customWidth="1"/>
    <col min="5909" max="5909" width="13.5703125" style="45" customWidth="1"/>
    <col min="5910" max="5910" width="13.140625" style="45" customWidth="1"/>
    <col min="5911" max="5911" width="15.7109375" style="45" customWidth="1"/>
    <col min="5912" max="5912" width="37.5703125" style="45" customWidth="1"/>
    <col min="5913" max="6134" width="11.42578125" style="45"/>
    <col min="6135" max="6135" width="10.5703125" style="45" customWidth="1"/>
    <col min="6136" max="6136" width="4.85546875" style="45" customWidth="1"/>
    <col min="6137" max="6137" width="32.42578125" style="45" customWidth="1"/>
    <col min="6138" max="6138" width="9.85546875" style="45" customWidth="1"/>
    <col min="6139" max="6139" width="10.140625" style="45" customWidth="1"/>
    <col min="6140" max="6140" width="12.28515625" style="45" customWidth="1"/>
    <col min="6141" max="6141" width="15.42578125" style="45" customWidth="1"/>
    <col min="6142" max="6142" width="11.85546875" style="45" customWidth="1"/>
    <col min="6143" max="6143" width="13.28515625" style="45" customWidth="1"/>
    <col min="6144" max="6144" width="15.28515625" style="45" customWidth="1"/>
    <col min="6145" max="6145" width="11.85546875" style="45" customWidth="1"/>
    <col min="6146" max="6146" width="6.140625" style="45" customWidth="1"/>
    <col min="6147" max="6147" width="11.85546875" style="45" customWidth="1"/>
    <col min="6148" max="6148" width="9.42578125" style="45" customWidth="1"/>
    <col min="6149" max="6149" width="14.7109375" style="45" customWidth="1"/>
    <col min="6150" max="6150" width="11.5703125" style="45" customWidth="1"/>
    <col min="6151" max="6151" width="0.42578125" style="45" customWidth="1"/>
    <col min="6152" max="6152" width="10.5703125" style="45" bestFit="1" customWidth="1"/>
    <col min="6153" max="6153" width="12.28515625" style="45" customWidth="1"/>
    <col min="6154" max="6154" width="12.5703125" style="45" customWidth="1"/>
    <col min="6155" max="6155" width="10.5703125" style="45" customWidth="1"/>
    <col min="6156" max="6156" width="10.140625" style="45" customWidth="1"/>
    <col min="6157" max="6157" width="8.42578125" style="45" customWidth="1"/>
    <col min="6158" max="6158" width="18.85546875" style="45" customWidth="1"/>
    <col min="6159" max="6159" width="10.28515625" style="45" customWidth="1"/>
    <col min="6160" max="6160" width="11.42578125" style="45"/>
    <col min="6161" max="6161" width="12.140625" style="45" customWidth="1"/>
    <col min="6162" max="6162" width="10.5703125" style="45" customWidth="1"/>
    <col min="6163" max="6163" width="12.42578125" style="45" customWidth="1"/>
    <col min="6164" max="6164" width="15.140625" style="45" customWidth="1"/>
    <col min="6165" max="6165" width="13.5703125" style="45" customWidth="1"/>
    <col min="6166" max="6166" width="13.140625" style="45" customWidth="1"/>
    <col min="6167" max="6167" width="15.7109375" style="45" customWidth="1"/>
    <col min="6168" max="6168" width="37.5703125" style="45" customWidth="1"/>
    <col min="6169" max="6390" width="11.42578125" style="45"/>
    <col min="6391" max="6391" width="10.5703125" style="45" customWidth="1"/>
    <col min="6392" max="6392" width="4.85546875" style="45" customWidth="1"/>
    <col min="6393" max="6393" width="32.42578125" style="45" customWidth="1"/>
    <col min="6394" max="6394" width="9.85546875" style="45" customWidth="1"/>
    <col min="6395" max="6395" width="10.140625" style="45" customWidth="1"/>
    <col min="6396" max="6396" width="12.28515625" style="45" customWidth="1"/>
    <col min="6397" max="6397" width="15.42578125" style="45" customWidth="1"/>
    <col min="6398" max="6398" width="11.85546875" style="45" customWidth="1"/>
    <col min="6399" max="6399" width="13.28515625" style="45" customWidth="1"/>
    <col min="6400" max="6400" width="15.28515625" style="45" customWidth="1"/>
    <col min="6401" max="6401" width="11.85546875" style="45" customWidth="1"/>
    <col min="6402" max="6402" width="6.140625" style="45" customWidth="1"/>
    <col min="6403" max="6403" width="11.85546875" style="45" customWidth="1"/>
    <col min="6404" max="6404" width="9.42578125" style="45" customWidth="1"/>
    <col min="6405" max="6405" width="14.7109375" style="45" customWidth="1"/>
    <col min="6406" max="6406" width="11.5703125" style="45" customWidth="1"/>
    <col min="6407" max="6407" width="0.42578125" style="45" customWidth="1"/>
    <col min="6408" max="6408" width="10.5703125" style="45" bestFit="1" customWidth="1"/>
    <col min="6409" max="6409" width="12.28515625" style="45" customWidth="1"/>
    <col min="6410" max="6410" width="12.5703125" style="45" customWidth="1"/>
    <col min="6411" max="6411" width="10.5703125" style="45" customWidth="1"/>
    <col min="6412" max="6412" width="10.140625" style="45" customWidth="1"/>
    <col min="6413" max="6413" width="8.42578125" style="45" customWidth="1"/>
    <col min="6414" max="6414" width="18.85546875" style="45" customWidth="1"/>
    <col min="6415" max="6415" width="10.28515625" style="45" customWidth="1"/>
    <col min="6416" max="6416" width="11.42578125" style="45"/>
    <col min="6417" max="6417" width="12.140625" style="45" customWidth="1"/>
    <col min="6418" max="6418" width="10.5703125" style="45" customWidth="1"/>
    <col min="6419" max="6419" width="12.42578125" style="45" customWidth="1"/>
    <col min="6420" max="6420" width="15.140625" style="45" customWidth="1"/>
    <col min="6421" max="6421" width="13.5703125" style="45" customWidth="1"/>
    <col min="6422" max="6422" width="13.140625" style="45" customWidth="1"/>
    <col min="6423" max="6423" width="15.7109375" style="45" customWidth="1"/>
    <col min="6424" max="6424" width="37.5703125" style="45" customWidth="1"/>
    <col min="6425" max="6646" width="11.42578125" style="45"/>
    <col min="6647" max="6647" width="10.5703125" style="45" customWidth="1"/>
    <col min="6648" max="6648" width="4.85546875" style="45" customWidth="1"/>
    <col min="6649" max="6649" width="32.42578125" style="45" customWidth="1"/>
    <col min="6650" max="6650" width="9.85546875" style="45" customWidth="1"/>
    <col min="6651" max="6651" width="10.140625" style="45" customWidth="1"/>
    <col min="6652" max="6652" width="12.28515625" style="45" customWidth="1"/>
    <col min="6653" max="6653" width="15.42578125" style="45" customWidth="1"/>
    <col min="6654" max="6654" width="11.85546875" style="45" customWidth="1"/>
    <col min="6655" max="6655" width="13.28515625" style="45" customWidth="1"/>
    <col min="6656" max="6656" width="15.28515625" style="45" customWidth="1"/>
    <col min="6657" max="6657" width="11.85546875" style="45" customWidth="1"/>
    <col min="6658" max="6658" width="6.140625" style="45" customWidth="1"/>
    <col min="6659" max="6659" width="11.85546875" style="45" customWidth="1"/>
    <col min="6660" max="6660" width="9.42578125" style="45" customWidth="1"/>
    <col min="6661" max="6661" width="14.7109375" style="45" customWidth="1"/>
    <col min="6662" max="6662" width="11.5703125" style="45" customWidth="1"/>
    <col min="6663" max="6663" width="0.42578125" style="45" customWidth="1"/>
    <col min="6664" max="6664" width="10.5703125" style="45" bestFit="1" customWidth="1"/>
    <col min="6665" max="6665" width="12.28515625" style="45" customWidth="1"/>
    <col min="6666" max="6666" width="12.5703125" style="45" customWidth="1"/>
    <col min="6667" max="6667" width="10.5703125" style="45" customWidth="1"/>
    <col min="6668" max="6668" width="10.140625" style="45" customWidth="1"/>
    <col min="6669" max="6669" width="8.42578125" style="45" customWidth="1"/>
    <col min="6670" max="6670" width="18.85546875" style="45" customWidth="1"/>
    <col min="6671" max="6671" width="10.28515625" style="45" customWidth="1"/>
    <col min="6672" max="6672" width="11.42578125" style="45"/>
    <col min="6673" max="6673" width="12.140625" style="45" customWidth="1"/>
    <col min="6674" max="6674" width="10.5703125" style="45" customWidth="1"/>
    <col min="6675" max="6675" width="12.42578125" style="45" customWidth="1"/>
    <col min="6676" max="6676" width="15.140625" style="45" customWidth="1"/>
    <col min="6677" max="6677" width="13.5703125" style="45" customWidth="1"/>
    <col min="6678" max="6678" width="13.140625" style="45" customWidth="1"/>
    <col min="6679" max="6679" width="15.7109375" style="45" customWidth="1"/>
    <col min="6680" max="6680" width="37.5703125" style="45" customWidth="1"/>
    <col min="6681" max="6902" width="11.42578125" style="45"/>
    <col min="6903" max="6903" width="10.5703125" style="45" customWidth="1"/>
    <col min="6904" max="6904" width="4.85546875" style="45" customWidth="1"/>
    <col min="6905" max="6905" width="32.42578125" style="45" customWidth="1"/>
    <col min="6906" max="6906" width="9.85546875" style="45" customWidth="1"/>
    <col min="6907" max="6907" width="10.140625" style="45" customWidth="1"/>
    <col min="6908" max="6908" width="12.28515625" style="45" customWidth="1"/>
    <col min="6909" max="6909" width="15.42578125" style="45" customWidth="1"/>
    <col min="6910" max="6910" width="11.85546875" style="45" customWidth="1"/>
    <col min="6911" max="6911" width="13.28515625" style="45" customWidth="1"/>
    <col min="6912" max="6912" width="15.28515625" style="45" customWidth="1"/>
    <col min="6913" max="6913" width="11.85546875" style="45" customWidth="1"/>
    <col min="6914" max="6914" width="6.140625" style="45" customWidth="1"/>
    <col min="6915" max="6915" width="11.85546875" style="45" customWidth="1"/>
    <col min="6916" max="6916" width="9.42578125" style="45" customWidth="1"/>
    <col min="6917" max="6917" width="14.7109375" style="45" customWidth="1"/>
    <col min="6918" max="6918" width="11.5703125" style="45" customWidth="1"/>
    <col min="6919" max="6919" width="0.42578125" style="45" customWidth="1"/>
    <col min="6920" max="6920" width="10.5703125" style="45" bestFit="1" customWidth="1"/>
    <col min="6921" max="6921" width="12.28515625" style="45" customWidth="1"/>
    <col min="6922" max="6922" width="12.5703125" style="45" customWidth="1"/>
    <col min="6923" max="6923" width="10.5703125" style="45" customWidth="1"/>
    <col min="6924" max="6924" width="10.140625" style="45" customWidth="1"/>
    <col min="6925" max="6925" width="8.42578125" style="45" customWidth="1"/>
    <col min="6926" max="6926" width="18.85546875" style="45" customWidth="1"/>
    <col min="6927" max="6927" width="10.28515625" style="45" customWidth="1"/>
    <col min="6928" max="6928" width="11.42578125" style="45"/>
    <col min="6929" max="6929" width="12.140625" style="45" customWidth="1"/>
    <col min="6930" max="6930" width="10.5703125" style="45" customWidth="1"/>
    <col min="6931" max="6931" width="12.42578125" style="45" customWidth="1"/>
    <col min="6932" max="6932" width="15.140625" style="45" customWidth="1"/>
    <col min="6933" max="6933" width="13.5703125" style="45" customWidth="1"/>
    <col min="6934" max="6934" width="13.140625" style="45" customWidth="1"/>
    <col min="6935" max="6935" width="15.7109375" style="45" customWidth="1"/>
    <col min="6936" max="6936" width="37.5703125" style="45" customWidth="1"/>
    <col min="6937" max="7158" width="11.42578125" style="45"/>
    <col min="7159" max="7159" width="10.5703125" style="45" customWidth="1"/>
    <col min="7160" max="7160" width="4.85546875" style="45" customWidth="1"/>
    <col min="7161" max="7161" width="32.42578125" style="45" customWidth="1"/>
    <col min="7162" max="7162" width="9.85546875" style="45" customWidth="1"/>
    <col min="7163" max="7163" width="10.140625" style="45" customWidth="1"/>
    <col min="7164" max="7164" width="12.28515625" style="45" customWidth="1"/>
    <col min="7165" max="7165" width="15.42578125" style="45" customWidth="1"/>
    <col min="7166" max="7166" width="11.85546875" style="45" customWidth="1"/>
    <col min="7167" max="7167" width="13.28515625" style="45" customWidth="1"/>
    <col min="7168" max="7168" width="15.28515625" style="45" customWidth="1"/>
    <col min="7169" max="7169" width="11.85546875" style="45" customWidth="1"/>
    <col min="7170" max="7170" width="6.140625" style="45" customWidth="1"/>
    <col min="7171" max="7171" width="11.85546875" style="45" customWidth="1"/>
    <col min="7172" max="7172" width="9.42578125" style="45" customWidth="1"/>
    <col min="7173" max="7173" width="14.7109375" style="45" customWidth="1"/>
    <col min="7174" max="7174" width="11.5703125" style="45" customWidth="1"/>
    <col min="7175" max="7175" width="0.42578125" style="45" customWidth="1"/>
    <col min="7176" max="7176" width="10.5703125" style="45" bestFit="1" customWidth="1"/>
    <col min="7177" max="7177" width="12.28515625" style="45" customWidth="1"/>
    <col min="7178" max="7178" width="12.5703125" style="45" customWidth="1"/>
    <col min="7179" max="7179" width="10.5703125" style="45" customWidth="1"/>
    <col min="7180" max="7180" width="10.140625" style="45" customWidth="1"/>
    <col min="7181" max="7181" width="8.42578125" style="45" customWidth="1"/>
    <col min="7182" max="7182" width="18.85546875" style="45" customWidth="1"/>
    <col min="7183" max="7183" width="10.28515625" style="45" customWidth="1"/>
    <col min="7184" max="7184" width="11.42578125" style="45"/>
    <col min="7185" max="7185" width="12.140625" style="45" customWidth="1"/>
    <col min="7186" max="7186" width="10.5703125" style="45" customWidth="1"/>
    <col min="7187" max="7187" width="12.42578125" style="45" customWidth="1"/>
    <col min="7188" max="7188" width="15.140625" style="45" customWidth="1"/>
    <col min="7189" max="7189" width="13.5703125" style="45" customWidth="1"/>
    <col min="7190" max="7190" width="13.140625" style="45" customWidth="1"/>
    <col min="7191" max="7191" width="15.7109375" style="45" customWidth="1"/>
    <col min="7192" max="7192" width="37.5703125" style="45" customWidth="1"/>
    <col min="7193" max="7414" width="11.42578125" style="45"/>
    <col min="7415" max="7415" width="10.5703125" style="45" customWidth="1"/>
    <col min="7416" max="7416" width="4.85546875" style="45" customWidth="1"/>
    <col min="7417" max="7417" width="32.42578125" style="45" customWidth="1"/>
    <col min="7418" max="7418" width="9.85546875" style="45" customWidth="1"/>
    <col min="7419" max="7419" width="10.140625" style="45" customWidth="1"/>
    <col min="7420" max="7420" width="12.28515625" style="45" customWidth="1"/>
    <col min="7421" max="7421" width="15.42578125" style="45" customWidth="1"/>
    <col min="7422" max="7422" width="11.85546875" style="45" customWidth="1"/>
    <col min="7423" max="7423" width="13.28515625" style="45" customWidth="1"/>
    <col min="7424" max="7424" width="15.28515625" style="45" customWidth="1"/>
    <col min="7425" max="7425" width="11.85546875" style="45" customWidth="1"/>
    <col min="7426" max="7426" width="6.140625" style="45" customWidth="1"/>
    <col min="7427" max="7427" width="11.85546875" style="45" customWidth="1"/>
    <col min="7428" max="7428" width="9.42578125" style="45" customWidth="1"/>
    <col min="7429" max="7429" width="14.7109375" style="45" customWidth="1"/>
    <col min="7430" max="7430" width="11.5703125" style="45" customWidth="1"/>
    <col min="7431" max="7431" width="0.42578125" style="45" customWidth="1"/>
    <col min="7432" max="7432" width="10.5703125" style="45" bestFit="1" customWidth="1"/>
    <col min="7433" max="7433" width="12.28515625" style="45" customWidth="1"/>
    <col min="7434" max="7434" width="12.5703125" style="45" customWidth="1"/>
    <col min="7435" max="7435" width="10.5703125" style="45" customWidth="1"/>
    <col min="7436" max="7436" width="10.140625" style="45" customWidth="1"/>
    <col min="7437" max="7437" width="8.42578125" style="45" customWidth="1"/>
    <col min="7438" max="7438" width="18.85546875" style="45" customWidth="1"/>
    <col min="7439" max="7439" width="10.28515625" style="45" customWidth="1"/>
    <col min="7440" max="7440" width="11.42578125" style="45"/>
    <col min="7441" max="7441" width="12.140625" style="45" customWidth="1"/>
    <col min="7442" max="7442" width="10.5703125" style="45" customWidth="1"/>
    <col min="7443" max="7443" width="12.42578125" style="45" customWidth="1"/>
    <col min="7444" max="7444" width="15.140625" style="45" customWidth="1"/>
    <col min="7445" max="7445" width="13.5703125" style="45" customWidth="1"/>
    <col min="7446" max="7446" width="13.140625" style="45" customWidth="1"/>
    <col min="7447" max="7447" width="15.7109375" style="45" customWidth="1"/>
    <col min="7448" max="7448" width="37.5703125" style="45" customWidth="1"/>
    <col min="7449" max="7670" width="11.42578125" style="45"/>
    <col min="7671" max="7671" width="10.5703125" style="45" customWidth="1"/>
    <col min="7672" max="7672" width="4.85546875" style="45" customWidth="1"/>
    <col min="7673" max="7673" width="32.42578125" style="45" customWidth="1"/>
    <col min="7674" max="7674" width="9.85546875" style="45" customWidth="1"/>
    <col min="7675" max="7675" width="10.140625" style="45" customWidth="1"/>
    <col min="7676" max="7676" width="12.28515625" style="45" customWidth="1"/>
    <col min="7677" max="7677" width="15.42578125" style="45" customWidth="1"/>
    <col min="7678" max="7678" width="11.85546875" style="45" customWidth="1"/>
    <col min="7679" max="7679" width="13.28515625" style="45" customWidth="1"/>
    <col min="7680" max="7680" width="15.28515625" style="45" customWidth="1"/>
    <col min="7681" max="7681" width="11.85546875" style="45" customWidth="1"/>
    <col min="7682" max="7682" width="6.140625" style="45" customWidth="1"/>
    <col min="7683" max="7683" width="11.85546875" style="45" customWidth="1"/>
    <col min="7684" max="7684" width="9.42578125" style="45" customWidth="1"/>
    <col min="7685" max="7685" width="14.7109375" style="45" customWidth="1"/>
    <col min="7686" max="7686" width="11.5703125" style="45" customWidth="1"/>
    <col min="7687" max="7687" width="0.42578125" style="45" customWidth="1"/>
    <col min="7688" max="7688" width="10.5703125" style="45" bestFit="1" customWidth="1"/>
    <col min="7689" max="7689" width="12.28515625" style="45" customWidth="1"/>
    <col min="7690" max="7690" width="12.5703125" style="45" customWidth="1"/>
    <col min="7691" max="7691" width="10.5703125" style="45" customWidth="1"/>
    <col min="7692" max="7692" width="10.140625" style="45" customWidth="1"/>
    <col min="7693" max="7693" width="8.42578125" style="45" customWidth="1"/>
    <col min="7694" max="7694" width="18.85546875" style="45" customWidth="1"/>
    <col min="7695" max="7695" width="10.28515625" style="45" customWidth="1"/>
    <col min="7696" max="7696" width="11.42578125" style="45"/>
    <col min="7697" max="7697" width="12.140625" style="45" customWidth="1"/>
    <col min="7698" max="7698" width="10.5703125" style="45" customWidth="1"/>
    <col min="7699" max="7699" width="12.42578125" style="45" customWidth="1"/>
    <col min="7700" max="7700" width="15.140625" style="45" customWidth="1"/>
    <col min="7701" max="7701" width="13.5703125" style="45" customWidth="1"/>
    <col min="7702" max="7702" width="13.140625" style="45" customWidth="1"/>
    <col min="7703" max="7703" width="15.7109375" style="45" customWidth="1"/>
    <col min="7704" max="7704" width="37.5703125" style="45" customWidth="1"/>
    <col min="7705" max="7926" width="11.42578125" style="45"/>
    <col min="7927" max="7927" width="10.5703125" style="45" customWidth="1"/>
    <col min="7928" max="7928" width="4.85546875" style="45" customWidth="1"/>
    <col min="7929" max="7929" width="32.42578125" style="45" customWidth="1"/>
    <col min="7930" max="7930" width="9.85546875" style="45" customWidth="1"/>
    <col min="7931" max="7931" width="10.140625" style="45" customWidth="1"/>
    <col min="7932" max="7932" width="12.28515625" style="45" customWidth="1"/>
    <col min="7933" max="7933" width="15.42578125" style="45" customWidth="1"/>
    <col min="7934" max="7934" width="11.85546875" style="45" customWidth="1"/>
    <col min="7935" max="7935" width="13.28515625" style="45" customWidth="1"/>
    <col min="7936" max="7936" width="15.28515625" style="45" customWidth="1"/>
    <col min="7937" max="7937" width="11.85546875" style="45" customWidth="1"/>
    <col min="7938" max="7938" width="6.140625" style="45" customWidth="1"/>
    <col min="7939" max="7939" width="11.85546875" style="45" customWidth="1"/>
    <col min="7940" max="7940" width="9.42578125" style="45" customWidth="1"/>
    <col min="7941" max="7941" width="14.7109375" style="45" customWidth="1"/>
    <col min="7942" max="7942" width="11.5703125" style="45" customWidth="1"/>
    <col min="7943" max="7943" width="0.42578125" style="45" customWidth="1"/>
    <col min="7944" max="7944" width="10.5703125" style="45" bestFit="1" customWidth="1"/>
    <col min="7945" max="7945" width="12.28515625" style="45" customWidth="1"/>
    <col min="7946" max="7946" width="12.5703125" style="45" customWidth="1"/>
    <col min="7947" max="7947" width="10.5703125" style="45" customWidth="1"/>
    <col min="7948" max="7948" width="10.140625" style="45" customWidth="1"/>
    <col min="7949" max="7949" width="8.42578125" style="45" customWidth="1"/>
    <col min="7950" max="7950" width="18.85546875" style="45" customWidth="1"/>
    <col min="7951" max="7951" width="10.28515625" style="45" customWidth="1"/>
    <col min="7952" max="7952" width="11.42578125" style="45"/>
    <col min="7953" max="7953" width="12.140625" style="45" customWidth="1"/>
    <col min="7954" max="7954" width="10.5703125" style="45" customWidth="1"/>
    <col min="7955" max="7955" width="12.42578125" style="45" customWidth="1"/>
    <col min="7956" max="7956" width="15.140625" style="45" customWidth="1"/>
    <col min="7957" max="7957" width="13.5703125" style="45" customWidth="1"/>
    <col min="7958" max="7958" width="13.140625" style="45" customWidth="1"/>
    <col min="7959" max="7959" width="15.7109375" style="45" customWidth="1"/>
    <col min="7960" max="7960" width="37.5703125" style="45" customWidth="1"/>
    <col min="7961" max="8182" width="11.42578125" style="45"/>
    <col min="8183" max="8183" width="10.5703125" style="45" customWidth="1"/>
    <col min="8184" max="8184" width="4.85546875" style="45" customWidth="1"/>
    <col min="8185" max="8185" width="32.42578125" style="45" customWidth="1"/>
    <col min="8186" max="8186" width="9.85546875" style="45" customWidth="1"/>
    <col min="8187" max="8187" width="10.140625" style="45" customWidth="1"/>
    <col min="8188" max="8188" width="12.28515625" style="45" customWidth="1"/>
    <col min="8189" max="8189" width="15.42578125" style="45" customWidth="1"/>
    <col min="8190" max="8190" width="11.85546875" style="45" customWidth="1"/>
    <col min="8191" max="8191" width="13.28515625" style="45" customWidth="1"/>
    <col min="8192" max="8192" width="15.28515625" style="45" customWidth="1"/>
    <col min="8193" max="8193" width="11.85546875" style="45" customWidth="1"/>
    <col min="8194" max="8194" width="6.140625" style="45" customWidth="1"/>
    <col min="8195" max="8195" width="11.85546875" style="45" customWidth="1"/>
    <col min="8196" max="8196" width="9.42578125" style="45" customWidth="1"/>
    <col min="8197" max="8197" width="14.7109375" style="45" customWidth="1"/>
    <col min="8198" max="8198" width="11.5703125" style="45" customWidth="1"/>
    <col min="8199" max="8199" width="0.42578125" style="45" customWidth="1"/>
    <col min="8200" max="8200" width="10.5703125" style="45" bestFit="1" customWidth="1"/>
    <col min="8201" max="8201" width="12.28515625" style="45" customWidth="1"/>
    <col min="8202" max="8202" width="12.5703125" style="45" customWidth="1"/>
    <col min="8203" max="8203" width="10.5703125" style="45" customWidth="1"/>
    <col min="8204" max="8204" width="10.140625" style="45" customWidth="1"/>
    <col min="8205" max="8205" width="8.42578125" style="45" customWidth="1"/>
    <col min="8206" max="8206" width="18.85546875" style="45" customWidth="1"/>
    <col min="8207" max="8207" width="10.28515625" style="45" customWidth="1"/>
    <col min="8208" max="8208" width="11.42578125" style="45"/>
    <col min="8209" max="8209" width="12.140625" style="45" customWidth="1"/>
    <col min="8210" max="8210" width="10.5703125" style="45" customWidth="1"/>
    <col min="8211" max="8211" width="12.42578125" style="45" customWidth="1"/>
    <col min="8212" max="8212" width="15.140625" style="45" customWidth="1"/>
    <col min="8213" max="8213" width="13.5703125" style="45" customWidth="1"/>
    <col min="8214" max="8214" width="13.140625" style="45" customWidth="1"/>
    <col min="8215" max="8215" width="15.7109375" style="45" customWidth="1"/>
    <col min="8216" max="8216" width="37.5703125" style="45" customWidth="1"/>
    <col min="8217" max="8438" width="11.42578125" style="45"/>
    <col min="8439" max="8439" width="10.5703125" style="45" customWidth="1"/>
    <col min="8440" max="8440" width="4.85546875" style="45" customWidth="1"/>
    <col min="8441" max="8441" width="32.42578125" style="45" customWidth="1"/>
    <col min="8442" max="8442" width="9.85546875" style="45" customWidth="1"/>
    <col min="8443" max="8443" width="10.140625" style="45" customWidth="1"/>
    <col min="8444" max="8444" width="12.28515625" style="45" customWidth="1"/>
    <col min="8445" max="8445" width="15.42578125" style="45" customWidth="1"/>
    <col min="8446" max="8446" width="11.85546875" style="45" customWidth="1"/>
    <col min="8447" max="8447" width="13.28515625" style="45" customWidth="1"/>
    <col min="8448" max="8448" width="15.28515625" style="45" customWidth="1"/>
    <col min="8449" max="8449" width="11.85546875" style="45" customWidth="1"/>
    <col min="8450" max="8450" width="6.140625" style="45" customWidth="1"/>
    <col min="8451" max="8451" width="11.85546875" style="45" customWidth="1"/>
    <col min="8452" max="8452" width="9.42578125" style="45" customWidth="1"/>
    <col min="8453" max="8453" width="14.7109375" style="45" customWidth="1"/>
    <col min="8454" max="8454" width="11.5703125" style="45" customWidth="1"/>
    <col min="8455" max="8455" width="0.42578125" style="45" customWidth="1"/>
    <col min="8456" max="8456" width="10.5703125" style="45" bestFit="1" customWidth="1"/>
    <col min="8457" max="8457" width="12.28515625" style="45" customWidth="1"/>
    <col min="8458" max="8458" width="12.5703125" style="45" customWidth="1"/>
    <col min="8459" max="8459" width="10.5703125" style="45" customWidth="1"/>
    <col min="8460" max="8460" width="10.140625" style="45" customWidth="1"/>
    <col min="8461" max="8461" width="8.42578125" style="45" customWidth="1"/>
    <col min="8462" max="8462" width="18.85546875" style="45" customWidth="1"/>
    <col min="8463" max="8463" width="10.28515625" style="45" customWidth="1"/>
    <col min="8464" max="8464" width="11.42578125" style="45"/>
    <col min="8465" max="8465" width="12.140625" style="45" customWidth="1"/>
    <col min="8466" max="8466" width="10.5703125" style="45" customWidth="1"/>
    <col min="8467" max="8467" width="12.42578125" style="45" customWidth="1"/>
    <col min="8468" max="8468" width="15.140625" style="45" customWidth="1"/>
    <col min="8469" max="8469" width="13.5703125" style="45" customWidth="1"/>
    <col min="8470" max="8470" width="13.140625" style="45" customWidth="1"/>
    <col min="8471" max="8471" width="15.7109375" style="45" customWidth="1"/>
    <col min="8472" max="8472" width="37.5703125" style="45" customWidth="1"/>
    <col min="8473" max="8694" width="11.42578125" style="45"/>
    <col min="8695" max="8695" width="10.5703125" style="45" customWidth="1"/>
    <col min="8696" max="8696" width="4.85546875" style="45" customWidth="1"/>
    <col min="8697" max="8697" width="32.42578125" style="45" customWidth="1"/>
    <col min="8698" max="8698" width="9.85546875" style="45" customWidth="1"/>
    <col min="8699" max="8699" width="10.140625" style="45" customWidth="1"/>
    <col min="8700" max="8700" width="12.28515625" style="45" customWidth="1"/>
    <col min="8701" max="8701" width="15.42578125" style="45" customWidth="1"/>
    <col min="8702" max="8702" width="11.85546875" style="45" customWidth="1"/>
    <col min="8703" max="8703" width="13.28515625" style="45" customWidth="1"/>
    <col min="8704" max="8704" width="15.28515625" style="45" customWidth="1"/>
    <col min="8705" max="8705" width="11.85546875" style="45" customWidth="1"/>
    <col min="8706" max="8706" width="6.140625" style="45" customWidth="1"/>
    <col min="8707" max="8707" width="11.85546875" style="45" customWidth="1"/>
    <col min="8708" max="8708" width="9.42578125" style="45" customWidth="1"/>
    <col min="8709" max="8709" width="14.7109375" style="45" customWidth="1"/>
    <col min="8710" max="8710" width="11.5703125" style="45" customWidth="1"/>
    <col min="8711" max="8711" width="0.42578125" style="45" customWidth="1"/>
    <col min="8712" max="8712" width="10.5703125" style="45" bestFit="1" customWidth="1"/>
    <col min="8713" max="8713" width="12.28515625" style="45" customWidth="1"/>
    <col min="8714" max="8714" width="12.5703125" style="45" customWidth="1"/>
    <col min="8715" max="8715" width="10.5703125" style="45" customWidth="1"/>
    <col min="8716" max="8716" width="10.140625" style="45" customWidth="1"/>
    <col min="8717" max="8717" width="8.42578125" style="45" customWidth="1"/>
    <col min="8718" max="8718" width="18.85546875" style="45" customWidth="1"/>
    <col min="8719" max="8719" width="10.28515625" style="45" customWidth="1"/>
    <col min="8720" max="8720" width="11.42578125" style="45"/>
    <col min="8721" max="8721" width="12.140625" style="45" customWidth="1"/>
    <col min="8722" max="8722" width="10.5703125" style="45" customWidth="1"/>
    <col min="8723" max="8723" width="12.42578125" style="45" customWidth="1"/>
    <col min="8724" max="8724" width="15.140625" style="45" customWidth="1"/>
    <col min="8725" max="8725" width="13.5703125" style="45" customWidth="1"/>
    <col min="8726" max="8726" width="13.140625" style="45" customWidth="1"/>
    <col min="8727" max="8727" width="15.7109375" style="45" customWidth="1"/>
    <col min="8728" max="8728" width="37.5703125" style="45" customWidth="1"/>
    <col min="8729" max="8950" width="11.42578125" style="45"/>
    <col min="8951" max="8951" width="10.5703125" style="45" customWidth="1"/>
    <col min="8952" max="8952" width="4.85546875" style="45" customWidth="1"/>
    <col min="8953" max="8953" width="32.42578125" style="45" customWidth="1"/>
    <col min="8954" max="8954" width="9.85546875" style="45" customWidth="1"/>
    <col min="8955" max="8955" width="10.140625" style="45" customWidth="1"/>
    <col min="8956" max="8956" width="12.28515625" style="45" customWidth="1"/>
    <col min="8957" max="8957" width="15.42578125" style="45" customWidth="1"/>
    <col min="8958" max="8958" width="11.85546875" style="45" customWidth="1"/>
    <col min="8959" max="8959" width="13.28515625" style="45" customWidth="1"/>
    <col min="8960" max="8960" width="15.28515625" style="45" customWidth="1"/>
    <col min="8961" max="8961" width="11.85546875" style="45" customWidth="1"/>
    <col min="8962" max="8962" width="6.140625" style="45" customWidth="1"/>
    <col min="8963" max="8963" width="11.85546875" style="45" customWidth="1"/>
    <col min="8964" max="8964" width="9.42578125" style="45" customWidth="1"/>
    <col min="8965" max="8965" width="14.7109375" style="45" customWidth="1"/>
    <col min="8966" max="8966" width="11.5703125" style="45" customWidth="1"/>
    <col min="8967" max="8967" width="0.42578125" style="45" customWidth="1"/>
    <col min="8968" max="8968" width="10.5703125" style="45" bestFit="1" customWidth="1"/>
    <col min="8969" max="8969" width="12.28515625" style="45" customWidth="1"/>
    <col min="8970" max="8970" width="12.5703125" style="45" customWidth="1"/>
    <col min="8971" max="8971" width="10.5703125" style="45" customWidth="1"/>
    <col min="8972" max="8972" width="10.140625" style="45" customWidth="1"/>
    <col min="8973" max="8973" width="8.42578125" style="45" customWidth="1"/>
    <col min="8974" max="8974" width="18.85546875" style="45" customWidth="1"/>
    <col min="8975" max="8975" width="10.28515625" style="45" customWidth="1"/>
    <col min="8976" max="8976" width="11.42578125" style="45"/>
    <col min="8977" max="8977" width="12.140625" style="45" customWidth="1"/>
    <col min="8978" max="8978" width="10.5703125" style="45" customWidth="1"/>
    <col min="8979" max="8979" width="12.42578125" style="45" customWidth="1"/>
    <col min="8980" max="8980" width="15.140625" style="45" customWidth="1"/>
    <col min="8981" max="8981" width="13.5703125" style="45" customWidth="1"/>
    <col min="8982" max="8982" width="13.140625" style="45" customWidth="1"/>
    <col min="8983" max="8983" width="15.7109375" style="45" customWidth="1"/>
    <col min="8984" max="8984" width="37.5703125" style="45" customWidth="1"/>
    <col min="8985" max="9206" width="11.42578125" style="45"/>
    <col min="9207" max="9207" width="10.5703125" style="45" customWidth="1"/>
    <col min="9208" max="9208" width="4.85546875" style="45" customWidth="1"/>
    <col min="9209" max="9209" width="32.42578125" style="45" customWidth="1"/>
    <col min="9210" max="9210" width="9.85546875" style="45" customWidth="1"/>
    <col min="9211" max="9211" width="10.140625" style="45" customWidth="1"/>
    <col min="9212" max="9212" width="12.28515625" style="45" customWidth="1"/>
    <col min="9213" max="9213" width="15.42578125" style="45" customWidth="1"/>
    <col min="9214" max="9214" width="11.85546875" style="45" customWidth="1"/>
    <col min="9215" max="9215" width="13.28515625" style="45" customWidth="1"/>
    <col min="9216" max="9216" width="15.28515625" style="45" customWidth="1"/>
    <col min="9217" max="9217" width="11.85546875" style="45" customWidth="1"/>
    <col min="9218" max="9218" width="6.140625" style="45" customWidth="1"/>
    <col min="9219" max="9219" width="11.85546875" style="45" customWidth="1"/>
    <col min="9220" max="9220" width="9.42578125" style="45" customWidth="1"/>
    <col min="9221" max="9221" width="14.7109375" style="45" customWidth="1"/>
    <col min="9222" max="9222" width="11.5703125" style="45" customWidth="1"/>
    <col min="9223" max="9223" width="0.42578125" style="45" customWidth="1"/>
    <col min="9224" max="9224" width="10.5703125" style="45" bestFit="1" customWidth="1"/>
    <col min="9225" max="9225" width="12.28515625" style="45" customWidth="1"/>
    <col min="9226" max="9226" width="12.5703125" style="45" customWidth="1"/>
    <col min="9227" max="9227" width="10.5703125" style="45" customWidth="1"/>
    <col min="9228" max="9228" width="10.140625" style="45" customWidth="1"/>
    <col min="9229" max="9229" width="8.42578125" style="45" customWidth="1"/>
    <col min="9230" max="9230" width="18.85546875" style="45" customWidth="1"/>
    <col min="9231" max="9231" width="10.28515625" style="45" customWidth="1"/>
    <col min="9232" max="9232" width="11.42578125" style="45"/>
    <col min="9233" max="9233" width="12.140625" style="45" customWidth="1"/>
    <col min="9234" max="9234" width="10.5703125" style="45" customWidth="1"/>
    <col min="9235" max="9235" width="12.42578125" style="45" customWidth="1"/>
    <col min="9236" max="9236" width="15.140625" style="45" customWidth="1"/>
    <col min="9237" max="9237" width="13.5703125" style="45" customWidth="1"/>
    <col min="9238" max="9238" width="13.140625" style="45" customWidth="1"/>
    <col min="9239" max="9239" width="15.7109375" style="45" customWidth="1"/>
    <col min="9240" max="9240" width="37.5703125" style="45" customWidth="1"/>
    <col min="9241" max="9462" width="11.42578125" style="45"/>
    <col min="9463" max="9463" width="10.5703125" style="45" customWidth="1"/>
    <col min="9464" max="9464" width="4.85546875" style="45" customWidth="1"/>
    <col min="9465" max="9465" width="32.42578125" style="45" customWidth="1"/>
    <col min="9466" max="9466" width="9.85546875" style="45" customWidth="1"/>
    <col min="9467" max="9467" width="10.140625" style="45" customWidth="1"/>
    <col min="9468" max="9468" width="12.28515625" style="45" customWidth="1"/>
    <col min="9469" max="9469" width="15.42578125" style="45" customWidth="1"/>
    <col min="9470" max="9470" width="11.85546875" style="45" customWidth="1"/>
    <col min="9471" max="9471" width="13.28515625" style="45" customWidth="1"/>
    <col min="9472" max="9472" width="15.28515625" style="45" customWidth="1"/>
    <col min="9473" max="9473" width="11.85546875" style="45" customWidth="1"/>
    <col min="9474" max="9474" width="6.140625" style="45" customWidth="1"/>
    <col min="9475" max="9475" width="11.85546875" style="45" customWidth="1"/>
    <col min="9476" max="9476" width="9.42578125" style="45" customWidth="1"/>
    <col min="9477" max="9477" width="14.7109375" style="45" customWidth="1"/>
    <col min="9478" max="9478" width="11.5703125" style="45" customWidth="1"/>
    <col min="9479" max="9479" width="0.42578125" style="45" customWidth="1"/>
    <col min="9480" max="9480" width="10.5703125" style="45" bestFit="1" customWidth="1"/>
    <col min="9481" max="9481" width="12.28515625" style="45" customWidth="1"/>
    <col min="9482" max="9482" width="12.5703125" style="45" customWidth="1"/>
    <col min="9483" max="9483" width="10.5703125" style="45" customWidth="1"/>
    <col min="9484" max="9484" width="10.140625" style="45" customWidth="1"/>
    <col min="9485" max="9485" width="8.42578125" style="45" customWidth="1"/>
    <col min="9486" max="9486" width="18.85546875" style="45" customWidth="1"/>
    <col min="9487" max="9487" width="10.28515625" style="45" customWidth="1"/>
    <col min="9488" max="9488" width="11.42578125" style="45"/>
    <col min="9489" max="9489" width="12.140625" style="45" customWidth="1"/>
    <col min="9490" max="9490" width="10.5703125" style="45" customWidth="1"/>
    <col min="9491" max="9491" width="12.42578125" style="45" customWidth="1"/>
    <col min="9492" max="9492" width="15.140625" style="45" customWidth="1"/>
    <col min="9493" max="9493" width="13.5703125" style="45" customWidth="1"/>
    <col min="9494" max="9494" width="13.140625" style="45" customWidth="1"/>
    <col min="9495" max="9495" width="15.7109375" style="45" customWidth="1"/>
    <col min="9496" max="9496" width="37.5703125" style="45" customWidth="1"/>
    <col min="9497" max="9718" width="11.42578125" style="45"/>
    <col min="9719" max="9719" width="10.5703125" style="45" customWidth="1"/>
    <col min="9720" max="9720" width="4.85546875" style="45" customWidth="1"/>
    <col min="9721" max="9721" width="32.42578125" style="45" customWidth="1"/>
    <col min="9722" max="9722" width="9.85546875" style="45" customWidth="1"/>
    <col min="9723" max="9723" width="10.140625" style="45" customWidth="1"/>
    <col min="9724" max="9724" width="12.28515625" style="45" customWidth="1"/>
    <col min="9725" max="9725" width="15.42578125" style="45" customWidth="1"/>
    <col min="9726" max="9726" width="11.85546875" style="45" customWidth="1"/>
    <col min="9727" max="9727" width="13.28515625" style="45" customWidth="1"/>
    <col min="9728" max="9728" width="15.28515625" style="45" customWidth="1"/>
    <col min="9729" max="9729" width="11.85546875" style="45" customWidth="1"/>
    <col min="9730" max="9730" width="6.140625" style="45" customWidth="1"/>
    <col min="9731" max="9731" width="11.85546875" style="45" customWidth="1"/>
    <col min="9732" max="9732" width="9.42578125" style="45" customWidth="1"/>
    <col min="9733" max="9733" width="14.7109375" style="45" customWidth="1"/>
    <col min="9734" max="9734" width="11.5703125" style="45" customWidth="1"/>
    <col min="9735" max="9735" width="0.42578125" style="45" customWidth="1"/>
    <col min="9736" max="9736" width="10.5703125" style="45" bestFit="1" customWidth="1"/>
    <col min="9737" max="9737" width="12.28515625" style="45" customWidth="1"/>
    <col min="9738" max="9738" width="12.5703125" style="45" customWidth="1"/>
    <col min="9739" max="9739" width="10.5703125" style="45" customWidth="1"/>
    <col min="9740" max="9740" width="10.140625" style="45" customWidth="1"/>
    <col min="9741" max="9741" width="8.42578125" style="45" customWidth="1"/>
    <col min="9742" max="9742" width="18.85546875" style="45" customWidth="1"/>
    <col min="9743" max="9743" width="10.28515625" style="45" customWidth="1"/>
    <col min="9744" max="9744" width="11.42578125" style="45"/>
    <col min="9745" max="9745" width="12.140625" style="45" customWidth="1"/>
    <col min="9746" max="9746" width="10.5703125" style="45" customWidth="1"/>
    <col min="9747" max="9747" width="12.42578125" style="45" customWidth="1"/>
    <col min="9748" max="9748" width="15.140625" style="45" customWidth="1"/>
    <col min="9749" max="9749" width="13.5703125" style="45" customWidth="1"/>
    <col min="9750" max="9750" width="13.140625" style="45" customWidth="1"/>
    <col min="9751" max="9751" width="15.7109375" style="45" customWidth="1"/>
    <col min="9752" max="9752" width="37.5703125" style="45" customWidth="1"/>
    <col min="9753" max="9974" width="11.42578125" style="45"/>
    <col min="9975" max="9975" width="10.5703125" style="45" customWidth="1"/>
    <col min="9976" max="9976" width="4.85546875" style="45" customWidth="1"/>
    <col min="9977" max="9977" width="32.42578125" style="45" customWidth="1"/>
    <col min="9978" max="9978" width="9.85546875" style="45" customWidth="1"/>
    <col min="9979" max="9979" width="10.140625" style="45" customWidth="1"/>
    <col min="9980" max="9980" width="12.28515625" style="45" customWidth="1"/>
    <col min="9981" max="9981" width="15.42578125" style="45" customWidth="1"/>
    <col min="9982" max="9982" width="11.85546875" style="45" customWidth="1"/>
    <col min="9983" max="9983" width="13.28515625" style="45" customWidth="1"/>
    <col min="9984" max="9984" width="15.28515625" style="45" customWidth="1"/>
    <col min="9985" max="9985" width="11.85546875" style="45" customWidth="1"/>
    <col min="9986" max="9986" width="6.140625" style="45" customWidth="1"/>
    <col min="9987" max="9987" width="11.85546875" style="45" customWidth="1"/>
    <col min="9988" max="9988" width="9.42578125" style="45" customWidth="1"/>
    <col min="9989" max="9989" width="14.7109375" style="45" customWidth="1"/>
    <col min="9990" max="9990" width="11.5703125" style="45" customWidth="1"/>
    <col min="9991" max="9991" width="0.42578125" style="45" customWidth="1"/>
    <col min="9992" max="9992" width="10.5703125" style="45" bestFit="1" customWidth="1"/>
    <col min="9993" max="9993" width="12.28515625" style="45" customWidth="1"/>
    <col min="9994" max="9994" width="12.5703125" style="45" customWidth="1"/>
    <col min="9995" max="9995" width="10.5703125" style="45" customWidth="1"/>
    <col min="9996" max="9996" width="10.140625" style="45" customWidth="1"/>
    <col min="9997" max="9997" width="8.42578125" style="45" customWidth="1"/>
    <col min="9998" max="9998" width="18.85546875" style="45" customWidth="1"/>
    <col min="9999" max="9999" width="10.28515625" style="45" customWidth="1"/>
    <col min="10000" max="10000" width="11.42578125" style="45"/>
    <col min="10001" max="10001" width="12.140625" style="45" customWidth="1"/>
    <col min="10002" max="10002" width="10.5703125" style="45" customWidth="1"/>
    <col min="10003" max="10003" width="12.42578125" style="45" customWidth="1"/>
    <col min="10004" max="10004" width="15.140625" style="45" customWidth="1"/>
    <col min="10005" max="10005" width="13.5703125" style="45" customWidth="1"/>
    <col min="10006" max="10006" width="13.140625" style="45" customWidth="1"/>
    <col min="10007" max="10007" width="15.7109375" style="45" customWidth="1"/>
    <col min="10008" max="10008" width="37.5703125" style="45" customWidth="1"/>
    <col min="10009" max="10230" width="11.42578125" style="45"/>
    <col min="10231" max="10231" width="10.5703125" style="45" customWidth="1"/>
    <col min="10232" max="10232" width="4.85546875" style="45" customWidth="1"/>
    <col min="10233" max="10233" width="32.42578125" style="45" customWidth="1"/>
    <col min="10234" max="10234" width="9.85546875" style="45" customWidth="1"/>
    <col min="10235" max="10235" width="10.140625" style="45" customWidth="1"/>
    <col min="10236" max="10236" width="12.28515625" style="45" customWidth="1"/>
    <col min="10237" max="10237" width="15.42578125" style="45" customWidth="1"/>
    <col min="10238" max="10238" width="11.85546875" style="45" customWidth="1"/>
    <col min="10239" max="10239" width="13.28515625" style="45" customWidth="1"/>
    <col min="10240" max="10240" width="15.28515625" style="45" customWidth="1"/>
    <col min="10241" max="10241" width="11.85546875" style="45" customWidth="1"/>
    <col min="10242" max="10242" width="6.140625" style="45" customWidth="1"/>
    <col min="10243" max="10243" width="11.85546875" style="45" customWidth="1"/>
    <col min="10244" max="10244" width="9.42578125" style="45" customWidth="1"/>
    <col min="10245" max="10245" width="14.7109375" style="45" customWidth="1"/>
    <col min="10246" max="10246" width="11.5703125" style="45" customWidth="1"/>
    <col min="10247" max="10247" width="0.42578125" style="45" customWidth="1"/>
    <col min="10248" max="10248" width="10.5703125" style="45" bestFit="1" customWidth="1"/>
    <col min="10249" max="10249" width="12.28515625" style="45" customWidth="1"/>
    <col min="10250" max="10250" width="12.5703125" style="45" customWidth="1"/>
    <col min="10251" max="10251" width="10.5703125" style="45" customWidth="1"/>
    <col min="10252" max="10252" width="10.140625" style="45" customWidth="1"/>
    <col min="10253" max="10253" width="8.42578125" style="45" customWidth="1"/>
    <col min="10254" max="10254" width="18.85546875" style="45" customWidth="1"/>
    <col min="10255" max="10255" width="10.28515625" style="45" customWidth="1"/>
    <col min="10256" max="10256" width="11.42578125" style="45"/>
    <col min="10257" max="10257" width="12.140625" style="45" customWidth="1"/>
    <col min="10258" max="10258" width="10.5703125" style="45" customWidth="1"/>
    <col min="10259" max="10259" width="12.42578125" style="45" customWidth="1"/>
    <col min="10260" max="10260" width="15.140625" style="45" customWidth="1"/>
    <col min="10261" max="10261" width="13.5703125" style="45" customWidth="1"/>
    <col min="10262" max="10262" width="13.140625" style="45" customWidth="1"/>
    <col min="10263" max="10263" width="15.7109375" style="45" customWidth="1"/>
    <col min="10264" max="10264" width="37.5703125" style="45" customWidth="1"/>
    <col min="10265" max="10486" width="11.42578125" style="45"/>
    <col min="10487" max="10487" width="10.5703125" style="45" customWidth="1"/>
    <col min="10488" max="10488" width="4.85546875" style="45" customWidth="1"/>
    <col min="10489" max="10489" width="32.42578125" style="45" customWidth="1"/>
    <col min="10490" max="10490" width="9.85546875" style="45" customWidth="1"/>
    <col min="10491" max="10491" width="10.140625" style="45" customWidth="1"/>
    <col min="10492" max="10492" width="12.28515625" style="45" customWidth="1"/>
    <col min="10493" max="10493" width="15.42578125" style="45" customWidth="1"/>
    <col min="10494" max="10494" width="11.85546875" style="45" customWidth="1"/>
    <col min="10495" max="10495" width="13.28515625" style="45" customWidth="1"/>
    <col min="10496" max="10496" width="15.28515625" style="45" customWidth="1"/>
    <col min="10497" max="10497" width="11.85546875" style="45" customWidth="1"/>
    <col min="10498" max="10498" width="6.140625" style="45" customWidth="1"/>
    <col min="10499" max="10499" width="11.85546875" style="45" customWidth="1"/>
    <col min="10500" max="10500" width="9.42578125" style="45" customWidth="1"/>
    <col min="10501" max="10501" width="14.7109375" style="45" customWidth="1"/>
    <col min="10502" max="10502" width="11.5703125" style="45" customWidth="1"/>
    <col min="10503" max="10503" width="0.42578125" style="45" customWidth="1"/>
    <col min="10504" max="10504" width="10.5703125" style="45" bestFit="1" customWidth="1"/>
    <col min="10505" max="10505" width="12.28515625" style="45" customWidth="1"/>
    <col min="10506" max="10506" width="12.5703125" style="45" customWidth="1"/>
    <col min="10507" max="10507" width="10.5703125" style="45" customWidth="1"/>
    <col min="10508" max="10508" width="10.140625" style="45" customWidth="1"/>
    <col min="10509" max="10509" width="8.42578125" style="45" customWidth="1"/>
    <col min="10510" max="10510" width="18.85546875" style="45" customWidth="1"/>
    <col min="10511" max="10511" width="10.28515625" style="45" customWidth="1"/>
    <col min="10512" max="10512" width="11.42578125" style="45"/>
    <col min="10513" max="10513" width="12.140625" style="45" customWidth="1"/>
    <col min="10514" max="10514" width="10.5703125" style="45" customWidth="1"/>
    <col min="10515" max="10515" width="12.42578125" style="45" customWidth="1"/>
    <col min="10516" max="10516" width="15.140625" style="45" customWidth="1"/>
    <col min="10517" max="10517" width="13.5703125" style="45" customWidth="1"/>
    <col min="10518" max="10518" width="13.140625" style="45" customWidth="1"/>
    <col min="10519" max="10519" width="15.7109375" style="45" customWidth="1"/>
    <col min="10520" max="10520" width="37.5703125" style="45" customWidth="1"/>
    <col min="10521" max="10742" width="11.42578125" style="45"/>
    <col min="10743" max="10743" width="10.5703125" style="45" customWidth="1"/>
    <col min="10744" max="10744" width="4.85546875" style="45" customWidth="1"/>
    <col min="10745" max="10745" width="32.42578125" style="45" customWidth="1"/>
    <col min="10746" max="10746" width="9.85546875" style="45" customWidth="1"/>
    <col min="10747" max="10747" width="10.140625" style="45" customWidth="1"/>
    <col min="10748" max="10748" width="12.28515625" style="45" customWidth="1"/>
    <col min="10749" max="10749" width="15.42578125" style="45" customWidth="1"/>
    <col min="10750" max="10750" width="11.85546875" style="45" customWidth="1"/>
    <col min="10751" max="10751" width="13.28515625" style="45" customWidth="1"/>
    <col min="10752" max="10752" width="15.28515625" style="45" customWidth="1"/>
    <col min="10753" max="10753" width="11.85546875" style="45" customWidth="1"/>
    <col min="10754" max="10754" width="6.140625" style="45" customWidth="1"/>
    <col min="10755" max="10755" width="11.85546875" style="45" customWidth="1"/>
    <col min="10756" max="10756" width="9.42578125" style="45" customWidth="1"/>
    <col min="10757" max="10757" width="14.7109375" style="45" customWidth="1"/>
    <col min="10758" max="10758" width="11.5703125" style="45" customWidth="1"/>
    <col min="10759" max="10759" width="0.42578125" style="45" customWidth="1"/>
    <col min="10760" max="10760" width="10.5703125" style="45" bestFit="1" customWidth="1"/>
    <col min="10761" max="10761" width="12.28515625" style="45" customWidth="1"/>
    <col min="10762" max="10762" width="12.5703125" style="45" customWidth="1"/>
    <col min="10763" max="10763" width="10.5703125" style="45" customWidth="1"/>
    <col min="10764" max="10764" width="10.140625" style="45" customWidth="1"/>
    <col min="10765" max="10765" width="8.42578125" style="45" customWidth="1"/>
    <col min="10766" max="10766" width="18.85546875" style="45" customWidth="1"/>
    <col min="10767" max="10767" width="10.28515625" style="45" customWidth="1"/>
    <col min="10768" max="10768" width="11.42578125" style="45"/>
    <col min="10769" max="10769" width="12.140625" style="45" customWidth="1"/>
    <col min="10770" max="10770" width="10.5703125" style="45" customWidth="1"/>
    <col min="10771" max="10771" width="12.42578125" style="45" customWidth="1"/>
    <col min="10772" max="10772" width="15.140625" style="45" customWidth="1"/>
    <col min="10773" max="10773" width="13.5703125" style="45" customWidth="1"/>
    <col min="10774" max="10774" width="13.140625" style="45" customWidth="1"/>
    <col min="10775" max="10775" width="15.7109375" style="45" customWidth="1"/>
    <col min="10776" max="10776" width="37.5703125" style="45" customWidth="1"/>
    <col min="10777" max="10998" width="11.42578125" style="45"/>
    <col min="10999" max="10999" width="10.5703125" style="45" customWidth="1"/>
    <col min="11000" max="11000" width="4.85546875" style="45" customWidth="1"/>
    <col min="11001" max="11001" width="32.42578125" style="45" customWidth="1"/>
    <col min="11002" max="11002" width="9.85546875" style="45" customWidth="1"/>
    <col min="11003" max="11003" width="10.140625" style="45" customWidth="1"/>
    <col min="11004" max="11004" width="12.28515625" style="45" customWidth="1"/>
    <col min="11005" max="11005" width="15.42578125" style="45" customWidth="1"/>
    <col min="11006" max="11006" width="11.85546875" style="45" customWidth="1"/>
    <col min="11007" max="11007" width="13.28515625" style="45" customWidth="1"/>
    <col min="11008" max="11008" width="15.28515625" style="45" customWidth="1"/>
    <col min="11009" max="11009" width="11.85546875" style="45" customWidth="1"/>
    <col min="11010" max="11010" width="6.140625" style="45" customWidth="1"/>
    <col min="11011" max="11011" width="11.85546875" style="45" customWidth="1"/>
    <col min="11012" max="11012" width="9.42578125" style="45" customWidth="1"/>
    <col min="11013" max="11013" width="14.7109375" style="45" customWidth="1"/>
    <col min="11014" max="11014" width="11.5703125" style="45" customWidth="1"/>
    <col min="11015" max="11015" width="0.42578125" style="45" customWidth="1"/>
    <col min="11016" max="11016" width="10.5703125" style="45" bestFit="1" customWidth="1"/>
    <col min="11017" max="11017" width="12.28515625" style="45" customWidth="1"/>
    <col min="11018" max="11018" width="12.5703125" style="45" customWidth="1"/>
    <col min="11019" max="11019" width="10.5703125" style="45" customWidth="1"/>
    <col min="11020" max="11020" width="10.140625" style="45" customWidth="1"/>
    <col min="11021" max="11021" width="8.42578125" style="45" customWidth="1"/>
    <col min="11022" max="11022" width="18.85546875" style="45" customWidth="1"/>
    <col min="11023" max="11023" width="10.28515625" style="45" customWidth="1"/>
    <col min="11024" max="11024" width="11.42578125" style="45"/>
    <col min="11025" max="11025" width="12.140625" style="45" customWidth="1"/>
    <col min="11026" max="11026" width="10.5703125" style="45" customWidth="1"/>
    <col min="11027" max="11027" width="12.42578125" style="45" customWidth="1"/>
    <col min="11028" max="11028" width="15.140625" style="45" customWidth="1"/>
    <col min="11029" max="11029" width="13.5703125" style="45" customWidth="1"/>
    <col min="11030" max="11030" width="13.140625" style="45" customWidth="1"/>
    <col min="11031" max="11031" width="15.7109375" style="45" customWidth="1"/>
    <col min="11032" max="11032" width="37.5703125" style="45" customWidth="1"/>
    <col min="11033" max="11254" width="11.42578125" style="45"/>
    <col min="11255" max="11255" width="10.5703125" style="45" customWidth="1"/>
    <col min="11256" max="11256" width="4.85546875" style="45" customWidth="1"/>
    <col min="11257" max="11257" width="32.42578125" style="45" customWidth="1"/>
    <col min="11258" max="11258" width="9.85546875" style="45" customWidth="1"/>
    <col min="11259" max="11259" width="10.140625" style="45" customWidth="1"/>
    <col min="11260" max="11260" width="12.28515625" style="45" customWidth="1"/>
    <col min="11261" max="11261" width="15.42578125" style="45" customWidth="1"/>
    <col min="11262" max="11262" width="11.85546875" style="45" customWidth="1"/>
    <col min="11263" max="11263" width="13.28515625" style="45" customWidth="1"/>
    <col min="11264" max="11264" width="15.28515625" style="45" customWidth="1"/>
    <col min="11265" max="11265" width="11.85546875" style="45" customWidth="1"/>
    <col min="11266" max="11266" width="6.140625" style="45" customWidth="1"/>
    <col min="11267" max="11267" width="11.85546875" style="45" customWidth="1"/>
    <col min="11268" max="11268" width="9.42578125" style="45" customWidth="1"/>
    <col min="11269" max="11269" width="14.7109375" style="45" customWidth="1"/>
    <col min="11270" max="11270" width="11.5703125" style="45" customWidth="1"/>
    <col min="11271" max="11271" width="0.42578125" style="45" customWidth="1"/>
    <col min="11272" max="11272" width="10.5703125" style="45" bestFit="1" customWidth="1"/>
    <col min="11273" max="11273" width="12.28515625" style="45" customWidth="1"/>
    <col min="11274" max="11274" width="12.5703125" style="45" customWidth="1"/>
    <col min="11275" max="11275" width="10.5703125" style="45" customWidth="1"/>
    <col min="11276" max="11276" width="10.140625" style="45" customWidth="1"/>
    <col min="11277" max="11277" width="8.42578125" style="45" customWidth="1"/>
    <col min="11278" max="11278" width="18.85546875" style="45" customWidth="1"/>
    <col min="11279" max="11279" width="10.28515625" style="45" customWidth="1"/>
    <col min="11280" max="11280" width="11.42578125" style="45"/>
    <col min="11281" max="11281" width="12.140625" style="45" customWidth="1"/>
    <col min="11282" max="11282" width="10.5703125" style="45" customWidth="1"/>
    <col min="11283" max="11283" width="12.42578125" style="45" customWidth="1"/>
    <col min="11284" max="11284" width="15.140625" style="45" customWidth="1"/>
    <col min="11285" max="11285" width="13.5703125" style="45" customWidth="1"/>
    <col min="11286" max="11286" width="13.140625" style="45" customWidth="1"/>
    <col min="11287" max="11287" width="15.7109375" style="45" customWidth="1"/>
    <col min="11288" max="11288" width="37.5703125" style="45" customWidth="1"/>
    <col min="11289" max="11510" width="11.42578125" style="45"/>
    <col min="11511" max="11511" width="10.5703125" style="45" customWidth="1"/>
    <col min="11512" max="11512" width="4.85546875" style="45" customWidth="1"/>
    <col min="11513" max="11513" width="32.42578125" style="45" customWidth="1"/>
    <col min="11514" max="11514" width="9.85546875" style="45" customWidth="1"/>
    <col min="11515" max="11515" width="10.140625" style="45" customWidth="1"/>
    <col min="11516" max="11516" width="12.28515625" style="45" customWidth="1"/>
    <col min="11517" max="11517" width="15.42578125" style="45" customWidth="1"/>
    <col min="11518" max="11518" width="11.85546875" style="45" customWidth="1"/>
    <col min="11519" max="11519" width="13.28515625" style="45" customWidth="1"/>
    <col min="11520" max="11520" width="15.28515625" style="45" customWidth="1"/>
    <col min="11521" max="11521" width="11.85546875" style="45" customWidth="1"/>
    <col min="11522" max="11522" width="6.140625" style="45" customWidth="1"/>
    <col min="11523" max="11523" width="11.85546875" style="45" customWidth="1"/>
    <col min="11524" max="11524" width="9.42578125" style="45" customWidth="1"/>
    <col min="11525" max="11525" width="14.7109375" style="45" customWidth="1"/>
    <col min="11526" max="11526" width="11.5703125" style="45" customWidth="1"/>
    <col min="11527" max="11527" width="0.42578125" style="45" customWidth="1"/>
    <col min="11528" max="11528" width="10.5703125" style="45" bestFit="1" customWidth="1"/>
    <col min="11529" max="11529" width="12.28515625" style="45" customWidth="1"/>
    <col min="11530" max="11530" width="12.5703125" style="45" customWidth="1"/>
    <col min="11531" max="11531" width="10.5703125" style="45" customWidth="1"/>
    <col min="11532" max="11532" width="10.140625" style="45" customWidth="1"/>
    <col min="11533" max="11533" width="8.42578125" style="45" customWidth="1"/>
    <col min="11534" max="11534" width="18.85546875" style="45" customWidth="1"/>
    <col min="11535" max="11535" width="10.28515625" style="45" customWidth="1"/>
    <col min="11536" max="11536" width="11.42578125" style="45"/>
    <col min="11537" max="11537" width="12.140625" style="45" customWidth="1"/>
    <col min="11538" max="11538" width="10.5703125" style="45" customWidth="1"/>
    <col min="11539" max="11539" width="12.42578125" style="45" customWidth="1"/>
    <col min="11540" max="11540" width="15.140625" style="45" customWidth="1"/>
    <col min="11541" max="11541" width="13.5703125" style="45" customWidth="1"/>
    <col min="11542" max="11542" width="13.140625" style="45" customWidth="1"/>
    <col min="11543" max="11543" width="15.7109375" style="45" customWidth="1"/>
    <col min="11544" max="11544" width="37.5703125" style="45" customWidth="1"/>
    <col min="11545" max="11766" width="11.42578125" style="45"/>
    <col min="11767" max="11767" width="10.5703125" style="45" customWidth="1"/>
    <col min="11768" max="11768" width="4.85546875" style="45" customWidth="1"/>
    <col min="11769" max="11769" width="32.42578125" style="45" customWidth="1"/>
    <col min="11770" max="11770" width="9.85546875" style="45" customWidth="1"/>
    <col min="11771" max="11771" width="10.140625" style="45" customWidth="1"/>
    <col min="11772" max="11772" width="12.28515625" style="45" customWidth="1"/>
    <col min="11773" max="11773" width="15.42578125" style="45" customWidth="1"/>
    <col min="11774" max="11774" width="11.85546875" style="45" customWidth="1"/>
    <col min="11775" max="11775" width="13.28515625" style="45" customWidth="1"/>
    <col min="11776" max="11776" width="15.28515625" style="45" customWidth="1"/>
    <col min="11777" max="11777" width="11.85546875" style="45" customWidth="1"/>
    <col min="11778" max="11778" width="6.140625" style="45" customWidth="1"/>
    <col min="11779" max="11779" width="11.85546875" style="45" customWidth="1"/>
    <col min="11780" max="11780" width="9.42578125" style="45" customWidth="1"/>
    <col min="11781" max="11781" width="14.7109375" style="45" customWidth="1"/>
    <col min="11782" max="11782" width="11.5703125" style="45" customWidth="1"/>
    <col min="11783" max="11783" width="0.42578125" style="45" customWidth="1"/>
    <col min="11784" max="11784" width="10.5703125" style="45" bestFit="1" customWidth="1"/>
    <col min="11785" max="11785" width="12.28515625" style="45" customWidth="1"/>
    <col min="11786" max="11786" width="12.5703125" style="45" customWidth="1"/>
    <col min="11787" max="11787" width="10.5703125" style="45" customWidth="1"/>
    <col min="11788" max="11788" width="10.140625" style="45" customWidth="1"/>
    <col min="11789" max="11789" width="8.42578125" style="45" customWidth="1"/>
    <col min="11790" max="11790" width="18.85546875" style="45" customWidth="1"/>
    <col min="11791" max="11791" width="10.28515625" style="45" customWidth="1"/>
    <col min="11792" max="11792" width="11.42578125" style="45"/>
    <col min="11793" max="11793" width="12.140625" style="45" customWidth="1"/>
    <col min="11794" max="11794" width="10.5703125" style="45" customWidth="1"/>
    <col min="11795" max="11795" width="12.42578125" style="45" customWidth="1"/>
    <col min="11796" max="11796" width="15.140625" style="45" customWidth="1"/>
    <col min="11797" max="11797" width="13.5703125" style="45" customWidth="1"/>
    <col min="11798" max="11798" width="13.140625" style="45" customWidth="1"/>
    <col min="11799" max="11799" width="15.7109375" style="45" customWidth="1"/>
    <col min="11800" max="11800" width="37.5703125" style="45" customWidth="1"/>
    <col min="11801" max="12022" width="11.42578125" style="45"/>
    <col min="12023" max="12023" width="10.5703125" style="45" customWidth="1"/>
    <col min="12024" max="12024" width="4.85546875" style="45" customWidth="1"/>
    <col min="12025" max="12025" width="32.42578125" style="45" customWidth="1"/>
    <col min="12026" max="12026" width="9.85546875" style="45" customWidth="1"/>
    <col min="12027" max="12027" width="10.140625" style="45" customWidth="1"/>
    <col min="12028" max="12028" width="12.28515625" style="45" customWidth="1"/>
    <col min="12029" max="12029" width="15.42578125" style="45" customWidth="1"/>
    <col min="12030" max="12030" width="11.85546875" style="45" customWidth="1"/>
    <col min="12031" max="12031" width="13.28515625" style="45" customWidth="1"/>
    <col min="12032" max="12032" width="15.28515625" style="45" customWidth="1"/>
    <col min="12033" max="12033" width="11.85546875" style="45" customWidth="1"/>
    <col min="12034" max="12034" width="6.140625" style="45" customWidth="1"/>
    <col min="12035" max="12035" width="11.85546875" style="45" customWidth="1"/>
    <col min="12036" max="12036" width="9.42578125" style="45" customWidth="1"/>
    <col min="12037" max="12037" width="14.7109375" style="45" customWidth="1"/>
    <col min="12038" max="12038" width="11.5703125" style="45" customWidth="1"/>
    <col min="12039" max="12039" width="0.42578125" style="45" customWidth="1"/>
    <col min="12040" max="12040" width="10.5703125" style="45" bestFit="1" customWidth="1"/>
    <col min="12041" max="12041" width="12.28515625" style="45" customWidth="1"/>
    <col min="12042" max="12042" width="12.5703125" style="45" customWidth="1"/>
    <col min="12043" max="12043" width="10.5703125" style="45" customWidth="1"/>
    <col min="12044" max="12044" width="10.140625" style="45" customWidth="1"/>
    <col min="12045" max="12045" width="8.42578125" style="45" customWidth="1"/>
    <col min="12046" max="12046" width="18.85546875" style="45" customWidth="1"/>
    <col min="12047" max="12047" width="10.28515625" style="45" customWidth="1"/>
    <col min="12048" max="12048" width="11.42578125" style="45"/>
    <col min="12049" max="12049" width="12.140625" style="45" customWidth="1"/>
    <col min="12050" max="12050" width="10.5703125" style="45" customWidth="1"/>
    <col min="12051" max="12051" width="12.42578125" style="45" customWidth="1"/>
    <col min="12052" max="12052" width="15.140625" style="45" customWidth="1"/>
    <col min="12053" max="12053" width="13.5703125" style="45" customWidth="1"/>
    <col min="12054" max="12054" width="13.140625" style="45" customWidth="1"/>
    <col min="12055" max="12055" width="15.7109375" style="45" customWidth="1"/>
    <col min="12056" max="12056" width="37.5703125" style="45" customWidth="1"/>
    <col min="12057" max="12278" width="11.42578125" style="45"/>
    <col min="12279" max="12279" width="10.5703125" style="45" customWidth="1"/>
    <col min="12280" max="12280" width="4.85546875" style="45" customWidth="1"/>
    <col min="12281" max="12281" width="32.42578125" style="45" customWidth="1"/>
    <col min="12282" max="12282" width="9.85546875" style="45" customWidth="1"/>
    <col min="12283" max="12283" width="10.140625" style="45" customWidth="1"/>
    <col min="12284" max="12284" width="12.28515625" style="45" customWidth="1"/>
    <col min="12285" max="12285" width="15.42578125" style="45" customWidth="1"/>
    <col min="12286" max="12286" width="11.85546875" style="45" customWidth="1"/>
    <col min="12287" max="12287" width="13.28515625" style="45" customWidth="1"/>
    <col min="12288" max="12288" width="15.28515625" style="45" customWidth="1"/>
    <col min="12289" max="12289" width="11.85546875" style="45" customWidth="1"/>
    <col min="12290" max="12290" width="6.140625" style="45" customWidth="1"/>
    <col min="12291" max="12291" width="11.85546875" style="45" customWidth="1"/>
    <col min="12292" max="12292" width="9.42578125" style="45" customWidth="1"/>
    <col min="12293" max="12293" width="14.7109375" style="45" customWidth="1"/>
    <col min="12294" max="12294" width="11.5703125" style="45" customWidth="1"/>
    <col min="12295" max="12295" width="0.42578125" style="45" customWidth="1"/>
    <col min="12296" max="12296" width="10.5703125" style="45" bestFit="1" customWidth="1"/>
    <col min="12297" max="12297" width="12.28515625" style="45" customWidth="1"/>
    <col min="12298" max="12298" width="12.5703125" style="45" customWidth="1"/>
    <col min="12299" max="12299" width="10.5703125" style="45" customWidth="1"/>
    <col min="12300" max="12300" width="10.140625" style="45" customWidth="1"/>
    <col min="12301" max="12301" width="8.42578125" style="45" customWidth="1"/>
    <col min="12302" max="12302" width="18.85546875" style="45" customWidth="1"/>
    <col min="12303" max="12303" width="10.28515625" style="45" customWidth="1"/>
    <col min="12304" max="12304" width="11.42578125" style="45"/>
    <col min="12305" max="12305" width="12.140625" style="45" customWidth="1"/>
    <col min="12306" max="12306" width="10.5703125" style="45" customWidth="1"/>
    <col min="12307" max="12307" width="12.42578125" style="45" customWidth="1"/>
    <col min="12308" max="12308" width="15.140625" style="45" customWidth="1"/>
    <col min="12309" max="12309" width="13.5703125" style="45" customWidth="1"/>
    <col min="12310" max="12310" width="13.140625" style="45" customWidth="1"/>
    <col min="12311" max="12311" width="15.7109375" style="45" customWidth="1"/>
    <col min="12312" max="12312" width="37.5703125" style="45" customWidth="1"/>
    <col min="12313" max="12534" width="11.42578125" style="45"/>
    <col min="12535" max="12535" width="10.5703125" style="45" customWidth="1"/>
    <col min="12536" max="12536" width="4.85546875" style="45" customWidth="1"/>
    <col min="12537" max="12537" width="32.42578125" style="45" customWidth="1"/>
    <col min="12538" max="12538" width="9.85546875" style="45" customWidth="1"/>
    <col min="12539" max="12539" width="10.140625" style="45" customWidth="1"/>
    <col min="12540" max="12540" width="12.28515625" style="45" customWidth="1"/>
    <col min="12541" max="12541" width="15.42578125" style="45" customWidth="1"/>
    <col min="12542" max="12542" width="11.85546875" style="45" customWidth="1"/>
    <col min="12543" max="12543" width="13.28515625" style="45" customWidth="1"/>
    <col min="12544" max="12544" width="15.28515625" style="45" customWidth="1"/>
    <col min="12545" max="12545" width="11.85546875" style="45" customWidth="1"/>
    <col min="12546" max="12546" width="6.140625" style="45" customWidth="1"/>
    <col min="12547" max="12547" width="11.85546875" style="45" customWidth="1"/>
    <col min="12548" max="12548" width="9.42578125" style="45" customWidth="1"/>
    <col min="12549" max="12549" width="14.7109375" style="45" customWidth="1"/>
    <col min="12550" max="12550" width="11.5703125" style="45" customWidth="1"/>
    <col min="12551" max="12551" width="0.42578125" style="45" customWidth="1"/>
    <col min="12552" max="12552" width="10.5703125" style="45" bestFit="1" customWidth="1"/>
    <col min="12553" max="12553" width="12.28515625" style="45" customWidth="1"/>
    <col min="12554" max="12554" width="12.5703125" style="45" customWidth="1"/>
    <col min="12555" max="12555" width="10.5703125" style="45" customWidth="1"/>
    <col min="12556" max="12556" width="10.140625" style="45" customWidth="1"/>
    <col min="12557" max="12557" width="8.42578125" style="45" customWidth="1"/>
    <col min="12558" max="12558" width="18.85546875" style="45" customWidth="1"/>
    <col min="12559" max="12559" width="10.28515625" style="45" customWidth="1"/>
    <col min="12560" max="12560" width="11.42578125" style="45"/>
    <col min="12561" max="12561" width="12.140625" style="45" customWidth="1"/>
    <col min="12562" max="12562" width="10.5703125" style="45" customWidth="1"/>
    <col min="12563" max="12563" width="12.42578125" style="45" customWidth="1"/>
    <col min="12564" max="12564" width="15.140625" style="45" customWidth="1"/>
    <col min="12565" max="12565" width="13.5703125" style="45" customWidth="1"/>
    <col min="12566" max="12566" width="13.140625" style="45" customWidth="1"/>
    <col min="12567" max="12567" width="15.7109375" style="45" customWidth="1"/>
    <col min="12568" max="12568" width="37.5703125" style="45" customWidth="1"/>
    <col min="12569" max="12790" width="11.42578125" style="45"/>
    <col min="12791" max="12791" width="10.5703125" style="45" customWidth="1"/>
    <col min="12792" max="12792" width="4.85546875" style="45" customWidth="1"/>
    <col min="12793" max="12793" width="32.42578125" style="45" customWidth="1"/>
    <col min="12794" max="12794" width="9.85546875" style="45" customWidth="1"/>
    <col min="12795" max="12795" width="10.140625" style="45" customWidth="1"/>
    <col min="12796" max="12796" width="12.28515625" style="45" customWidth="1"/>
    <col min="12797" max="12797" width="15.42578125" style="45" customWidth="1"/>
    <col min="12798" max="12798" width="11.85546875" style="45" customWidth="1"/>
    <col min="12799" max="12799" width="13.28515625" style="45" customWidth="1"/>
    <col min="12800" max="12800" width="15.28515625" style="45" customWidth="1"/>
    <col min="12801" max="12801" width="11.85546875" style="45" customWidth="1"/>
    <col min="12802" max="12802" width="6.140625" style="45" customWidth="1"/>
    <col min="12803" max="12803" width="11.85546875" style="45" customWidth="1"/>
    <col min="12804" max="12804" width="9.42578125" style="45" customWidth="1"/>
    <col min="12805" max="12805" width="14.7109375" style="45" customWidth="1"/>
    <col min="12806" max="12806" width="11.5703125" style="45" customWidth="1"/>
    <col min="12807" max="12807" width="0.42578125" style="45" customWidth="1"/>
    <col min="12808" max="12808" width="10.5703125" style="45" bestFit="1" customWidth="1"/>
    <col min="12809" max="12809" width="12.28515625" style="45" customWidth="1"/>
    <col min="12810" max="12810" width="12.5703125" style="45" customWidth="1"/>
    <col min="12811" max="12811" width="10.5703125" style="45" customWidth="1"/>
    <col min="12812" max="12812" width="10.140625" style="45" customWidth="1"/>
    <col min="12813" max="12813" width="8.42578125" style="45" customWidth="1"/>
    <col min="12814" max="12814" width="18.85546875" style="45" customWidth="1"/>
    <col min="12815" max="12815" width="10.28515625" style="45" customWidth="1"/>
    <col min="12816" max="12816" width="11.42578125" style="45"/>
    <col min="12817" max="12817" width="12.140625" style="45" customWidth="1"/>
    <col min="12818" max="12818" width="10.5703125" style="45" customWidth="1"/>
    <col min="12819" max="12819" width="12.42578125" style="45" customWidth="1"/>
    <col min="12820" max="12820" width="15.140625" style="45" customWidth="1"/>
    <col min="12821" max="12821" width="13.5703125" style="45" customWidth="1"/>
    <col min="12822" max="12822" width="13.140625" style="45" customWidth="1"/>
    <col min="12823" max="12823" width="15.7109375" style="45" customWidth="1"/>
    <col min="12824" max="12824" width="37.5703125" style="45" customWidth="1"/>
    <col min="12825" max="13046" width="11.42578125" style="45"/>
    <col min="13047" max="13047" width="10.5703125" style="45" customWidth="1"/>
    <col min="13048" max="13048" width="4.85546875" style="45" customWidth="1"/>
    <col min="13049" max="13049" width="32.42578125" style="45" customWidth="1"/>
    <col min="13050" max="13050" width="9.85546875" style="45" customWidth="1"/>
    <col min="13051" max="13051" width="10.140625" style="45" customWidth="1"/>
    <col min="13052" max="13052" width="12.28515625" style="45" customWidth="1"/>
    <col min="13053" max="13053" width="15.42578125" style="45" customWidth="1"/>
    <col min="13054" max="13054" width="11.85546875" style="45" customWidth="1"/>
    <col min="13055" max="13055" width="13.28515625" style="45" customWidth="1"/>
    <col min="13056" max="13056" width="15.28515625" style="45" customWidth="1"/>
    <col min="13057" max="13057" width="11.85546875" style="45" customWidth="1"/>
    <col min="13058" max="13058" width="6.140625" style="45" customWidth="1"/>
    <col min="13059" max="13059" width="11.85546875" style="45" customWidth="1"/>
    <col min="13060" max="13060" width="9.42578125" style="45" customWidth="1"/>
    <col min="13061" max="13061" width="14.7109375" style="45" customWidth="1"/>
    <col min="13062" max="13062" width="11.5703125" style="45" customWidth="1"/>
    <col min="13063" max="13063" width="0.42578125" style="45" customWidth="1"/>
    <col min="13064" max="13064" width="10.5703125" style="45" bestFit="1" customWidth="1"/>
    <col min="13065" max="13065" width="12.28515625" style="45" customWidth="1"/>
    <col min="13066" max="13066" width="12.5703125" style="45" customWidth="1"/>
    <col min="13067" max="13067" width="10.5703125" style="45" customWidth="1"/>
    <col min="13068" max="13068" width="10.140625" style="45" customWidth="1"/>
    <col min="13069" max="13069" width="8.42578125" style="45" customWidth="1"/>
    <col min="13070" max="13070" width="18.85546875" style="45" customWidth="1"/>
    <col min="13071" max="13071" width="10.28515625" style="45" customWidth="1"/>
    <col min="13072" max="13072" width="11.42578125" style="45"/>
    <col min="13073" max="13073" width="12.140625" style="45" customWidth="1"/>
    <col min="13074" max="13074" width="10.5703125" style="45" customWidth="1"/>
    <col min="13075" max="13075" width="12.42578125" style="45" customWidth="1"/>
    <col min="13076" max="13076" width="15.140625" style="45" customWidth="1"/>
    <col min="13077" max="13077" width="13.5703125" style="45" customWidth="1"/>
    <col min="13078" max="13078" width="13.140625" style="45" customWidth="1"/>
    <col min="13079" max="13079" width="15.7109375" style="45" customWidth="1"/>
    <col min="13080" max="13080" width="37.5703125" style="45" customWidth="1"/>
    <col min="13081" max="13302" width="11.42578125" style="45"/>
    <col min="13303" max="13303" width="10.5703125" style="45" customWidth="1"/>
    <col min="13304" max="13304" width="4.85546875" style="45" customWidth="1"/>
    <col min="13305" max="13305" width="32.42578125" style="45" customWidth="1"/>
    <col min="13306" max="13306" width="9.85546875" style="45" customWidth="1"/>
    <col min="13307" max="13307" width="10.140625" style="45" customWidth="1"/>
    <col min="13308" max="13308" width="12.28515625" style="45" customWidth="1"/>
    <col min="13309" max="13309" width="15.42578125" style="45" customWidth="1"/>
    <col min="13310" max="13310" width="11.85546875" style="45" customWidth="1"/>
    <col min="13311" max="13311" width="13.28515625" style="45" customWidth="1"/>
    <col min="13312" max="13312" width="15.28515625" style="45" customWidth="1"/>
    <col min="13313" max="13313" width="11.85546875" style="45" customWidth="1"/>
    <col min="13314" max="13314" width="6.140625" style="45" customWidth="1"/>
    <col min="13315" max="13315" width="11.85546875" style="45" customWidth="1"/>
    <col min="13316" max="13316" width="9.42578125" style="45" customWidth="1"/>
    <col min="13317" max="13317" width="14.7109375" style="45" customWidth="1"/>
    <col min="13318" max="13318" width="11.5703125" style="45" customWidth="1"/>
    <col min="13319" max="13319" width="0.42578125" style="45" customWidth="1"/>
    <col min="13320" max="13320" width="10.5703125" style="45" bestFit="1" customWidth="1"/>
    <col min="13321" max="13321" width="12.28515625" style="45" customWidth="1"/>
    <col min="13322" max="13322" width="12.5703125" style="45" customWidth="1"/>
    <col min="13323" max="13323" width="10.5703125" style="45" customWidth="1"/>
    <col min="13324" max="13324" width="10.140625" style="45" customWidth="1"/>
    <col min="13325" max="13325" width="8.42578125" style="45" customWidth="1"/>
    <col min="13326" max="13326" width="18.85546875" style="45" customWidth="1"/>
    <col min="13327" max="13327" width="10.28515625" style="45" customWidth="1"/>
    <col min="13328" max="13328" width="11.42578125" style="45"/>
    <col min="13329" max="13329" width="12.140625" style="45" customWidth="1"/>
    <col min="13330" max="13330" width="10.5703125" style="45" customWidth="1"/>
    <col min="13331" max="13331" width="12.42578125" style="45" customWidth="1"/>
    <col min="13332" max="13332" width="15.140625" style="45" customWidth="1"/>
    <col min="13333" max="13333" width="13.5703125" style="45" customWidth="1"/>
    <col min="13334" max="13334" width="13.140625" style="45" customWidth="1"/>
    <col min="13335" max="13335" width="15.7109375" style="45" customWidth="1"/>
    <col min="13336" max="13336" width="37.5703125" style="45" customWidth="1"/>
    <col min="13337" max="13558" width="11.42578125" style="45"/>
    <col min="13559" max="13559" width="10.5703125" style="45" customWidth="1"/>
    <col min="13560" max="13560" width="4.85546875" style="45" customWidth="1"/>
    <col min="13561" max="13561" width="32.42578125" style="45" customWidth="1"/>
    <col min="13562" max="13562" width="9.85546875" style="45" customWidth="1"/>
    <col min="13563" max="13563" width="10.140625" style="45" customWidth="1"/>
    <col min="13564" max="13564" width="12.28515625" style="45" customWidth="1"/>
    <col min="13565" max="13565" width="15.42578125" style="45" customWidth="1"/>
    <col min="13566" max="13566" width="11.85546875" style="45" customWidth="1"/>
    <col min="13567" max="13567" width="13.28515625" style="45" customWidth="1"/>
    <col min="13568" max="13568" width="15.28515625" style="45" customWidth="1"/>
    <col min="13569" max="13569" width="11.85546875" style="45" customWidth="1"/>
    <col min="13570" max="13570" width="6.140625" style="45" customWidth="1"/>
    <col min="13571" max="13571" width="11.85546875" style="45" customWidth="1"/>
    <col min="13572" max="13572" width="9.42578125" style="45" customWidth="1"/>
    <col min="13573" max="13573" width="14.7109375" style="45" customWidth="1"/>
    <col min="13574" max="13574" width="11.5703125" style="45" customWidth="1"/>
    <col min="13575" max="13575" width="0.42578125" style="45" customWidth="1"/>
    <col min="13576" max="13576" width="10.5703125" style="45" bestFit="1" customWidth="1"/>
    <col min="13577" max="13577" width="12.28515625" style="45" customWidth="1"/>
    <col min="13578" max="13578" width="12.5703125" style="45" customWidth="1"/>
    <col min="13579" max="13579" width="10.5703125" style="45" customWidth="1"/>
    <col min="13580" max="13580" width="10.140625" style="45" customWidth="1"/>
    <col min="13581" max="13581" width="8.42578125" style="45" customWidth="1"/>
    <col min="13582" max="13582" width="18.85546875" style="45" customWidth="1"/>
    <col min="13583" max="13583" width="10.28515625" style="45" customWidth="1"/>
    <col min="13584" max="13584" width="11.42578125" style="45"/>
    <col min="13585" max="13585" width="12.140625" style="45" customWidth="1"/>
    <col min="13586" max="13586" width="10.5703125" style="45" customWidth="1"/>
    <col min="13587" max="13587" width="12.42578125" style="45" customWidth="1"/>
    <col min="13588" max="13588" width="15.140625" style="45" customWidth="1"/>
    <col min="13589" max="13589" width="13.5703125" style="45" customWidth="1"/>
    <col min="13590" max="13590" width="13.140625" style="45" customWidth="1"/>
    <col min="13591" max="13591" width="15.7109375" style="45" customWidth="1"/>
    <col min="13592" max="13592" width="37.5703125" style="45" customWidth="1"/>
    <col min="13593" max="13814" width="11.42578125" style="45"/>
    <col min="13815" max="13815" width="10.5703125" style="45" customWidth="1"/>
    <col min="13816" max="13816" width="4.85546875" style="45" customWidth="1"/>
    <col min="13817" max="13817" width="32.42578125" style="45" customWidth="1"/>
    <col min="13818" max="13818" width="9.85546875" style="45" customWidth="1"/>
    <col min="13819" max="13819" width="10.140625" style="45" customWidth="1"/>
    <col min="13820" max="13820" width="12.28515625" style="45" customWidth="1"/>
    <col min="13821" max="13821" width="15.42578125" style="45" customWidth="1"/>
    <col min="13822" max="13822" width="11.85546875" style="45" customWidth="1"/>
    <col min="13823" max="13823" width="13.28515625" style="45" customWidth="1"/>
    <col min="13824" max="13824" width="15.28515625" style="45" customWidth="1"/>
    <col min="13825" max="13825" width="11.85546875" style="45" customWidth="1"/>
    <col min="13826" max="13826" width="6.140625" style="45" customWidth="1"/>
    <col min="13827" max="13827" width="11.85546875" style="45" customWidth="1"/>
    <col min="13828" max="13828" width="9.42578125" style="45" customWidth="1"/>
    <col min="13829" max="13829" width="14.7109375" style="45" customWidth="1"/>
    <col min="13830" max="13830" width="11.5703125" style="45" customWidth="1"/>
    <col min="13831" max="13831" width="0.42578125" style="45" customWidth="1"/>
    <col min="13832" max="13832" width="10.5703125" style="45" bestFit="1" customWidth="1"/>
    <col min="13833" max="13833" width="12.28515625" style="45" customWidth="1"/>
    <col min="13834" max="13834" width="12.5703125" style="45" customWidth="1"/>
    <col min="13835" max="13835" width="10.5703125" style="45" customWidth="1"/>
    <col min="13836" max="13836" width="10.140625" style="45" customWidth="1"/>
    <col min="13837" max="13837" width="8.42578125" style="45" customWidth="1"/>
    <col min="13838" max="13838" width="18.85546875" style="45" customWidth="1"/>
    <col min="13839" max="13839" width="10.28515625" style="45" customWidth="1"/>
    <col min="13840" max="13840" width="11.42578125" style="45"/>
    <col min="13841" max="13841" width="12.140625" style="45" customWidth="1"/>
    <col min="13842" max="13842" width="10.5703125" style="45" customWidth="1"/>
    <col min="13843" max="13843" width="12.42578125" style="45" customWidth="1"/>
    <col min="13844" max="13844" width="15.140625" style="45" customWidth="1"/>
    <col min="13845" max="13845" width="13.5703125" style="45" customWidth="1"/>
    <col min="13846" max="13846" width="13.140625" style="45" customWidth="1"/>
    <col min="13847" max="13847" width="15.7109375" style="45" customWidth="1"/>
    <col min="13848" max="13848" width="37.5703125" style="45" customWidth="1"/>
    <col min="13849" max="14070" width="11.42578125" style="45"/>
    <col min="14071" max="14071" width="10.5703125" style="45" customWidth="1"/>
    <col min="14072" max="14072" width="4.85546875" style="45" customWidth="1"/>
    <col min="14073" max="14073" width="32.42578125" style="45" customWidth="1"/>
    <col min="14074" max="14074" width="9.85546875" style="45" customWidth="1"/>
    <col min="14075" max="14075" width="10.140625" style="45" customWidth="1"/>
    <col min="14076" max="14076" width="12.28515625" style="45" customWidth="1"/>
    <col min="14077" max="14077" width="15.42578125" style="45" customWidth="1"/>
    <col min="14078" max="14078" width="11.85546875" style="45" customWidth="1"/>
    <col min="14079" max="14079" width="13.28515625" style="45" customWidth="1"/>
    <col min="14080" max="14080" width="15.28515625" style="45" customWidth="1"/>
    <col min="14081" max="14081" width="11.85546875" style="45" customWidth="1"/>
    <col min="14082" max="14082" width="6.140625" style="45" customWidth="1"/>
    <col min="14083" max="14083" width="11.85546875" style="45" customWidth="1"/>
    <col min="14084" max="14084" width="9.42578125" style="45" customWidth="1"/>
    <col min="14085" max="14085" width="14.7109375" style="45" customWidth="1"/>
    <col min="14086" max="14086" width="11.5703125" style="45" customWidth="1"/>
    <col min="14087" max="14087" width="0.42578125" style="45" customWidth="1"/>
    <col min="14088" max="14088" width="10.5703125" style="45" bestFit="1" customWidth="1"/>
    <col min="14089" max="14089" width="12.28515625" style="45" customWidth="1"/>
    <col min="14090" max="14090" width="12.5703125" style="45" customWidth="1"/>
    <col min="14091" max="14091" width="10.5703125" style="45" customWidth="1"/>
    <col min="14092" max="14092" width="10.140625" style="45" customWidth="1"/>
    <col min="14093" max="14093" width="8.42578125" style="45" customWidth="1"/>
    <col min="14094" max="14094" width="18.85546875" style="45" customWidth="1"/>
    <col min="14095" max="14095" width="10.28515625" style="45" customWidth="1"/>
    <col min="14096" max="14096" width="11.42578125" style="45"/>
    <col min="14097" max="14097" width="12.140625" style="45" customWidth="1"/>
    <col min="14098" max="14098" width="10.5703125" style="45" customWidth="1"/>
    <col min="14099" max="14099" width="12.42578125" style="45" customWidth="1"/>
    <col min="14100" max="14100" width="15.140625" style="45" customWidth="1"/>
    <col min="14101" max="14101" width="13.5703125" style="45" customWidth="1"/>
    <col min="14102" max="14102" width="13.140625" style="45" customWidth="1"/>
    <col min="14103" max="14103" width="15.7109375" style="45" customWidth="1"/>
    <col min="14104" max="14104" width="37.5703125" style="45" customWidth="1"/>
    <col min="14105" max="14326" width="11.42578125" style="45"/>
    <col min="14327" max="14327" width="10.5703125" style="45" customWidth="1"/>
    <col min="14328" max="14328" width="4.85546875" style="45" customWidth="1"/>
    <col min="14329" max="14329" width="32.42578125" style="45" customWidth="1"/>
    <col min="14330" max="14330" width="9.85546875" style="45" customWidth="1"/>
    <col min="14331" max="14331" width="10.140625" style="45" customWidth="1"/>
    <col min="14332" max="14332" width="12.28515625" style="45" customWidth="1"/>
    <col min="14333" max="14333" width="15.42578125" style="45" customWidth="1"/>
    <col min="14334" max="14334" width="11.85546875" style="45" customWidth="1"/>
    <col min="14335" max="14335" width="13.28515625" style="45" customWidth="1"/>
    <col min="14336" max="14336" width="15.28515625" style="45" customWidth="1"/>
    <col min="14337" max="14337" width="11.85546875" style="45" customWidth="1"/>
    <col min="14338" max="14338" width="6.140625" style="45" customWidth="1"/>
    <col min="14339" max="14339" width="11.85546875" style="45" customWidth="1"/>
    <col min="14340" max="14340" width="9.42578125" style="45" customWidth="1"/>
    <col min="14341" max="14341" width="14.7109375" style="45" customWidth="1"/>
    <col min="14342" max="14342" width="11.5703125" style="45" customWidth="1"/>
    <col min="14343" max="14343" width="0.42578125" style="45" customWidth="1"/>
    <col min="14344" max="14344" width="10.5703125" style="45" bestFit="1" customWidth="1"/>
    <col min="14345" max="14345" width="12.28515625" style="45" customWidth="1"/>
    <col min="14346" max="14346" width="12.5703125" style="45" customWidth="1"/>
    <col min="14347" max="14347" width="10.5703125" style="45" customWidth="1"/>
    <col min="14348" max="14348" width="10.140625" style="45" customWidth="1"/>
    <col min="14349" max="14349" width="8.42578125" style="45" customWidth="1"/>
    <col min="14350" max="14350" width="18.85546875" style="45" customWidth="1"/>
    <col min="14351" max="14351" width="10.28515625" style="45" customWidth="1"/>
    <col min="14352" max="14352" width="11.42578125" style="45"/>
    <col min="14353" max="14353" width="12.140625" style="45" customWidth="1"/>
    <col min="14354" max="14354" width="10.5703125" style="45" customWidth="1"/>
    <col min="14355" max="14355" width="12.42578125" style="45" customWidth="1"/>
    <col min="14356" max="14356" width="15.140625" style="45" customWidth="1"/>
    <col min="14357" max="14357" width="13.5703125" style="45" customWidth="1"/>
    <col min="14358" max="14358" width="13.140625" style="45" customWidth="1"/>
    <col min="14359" max="14359" width="15.7109375" style="45" customWidth="1"/>
    <col min="14360" max="14360" width="37.5703125" style="45" customWidth="1"/>
    <col min="14361" max="14582" width="11.42578125" style="45"/>
    <col min="14583" max="14583" width="10.5703125" style="45" customWidth="1"/>
    <col min="14584" max="14584" width="4.85546875" style="45" customWidth="1"/>
    <col min="14585" max="14585" width="32.42578125" style="45" customWidth="1"/>
    <col min="14586" max="14586" width="9.85546875" style="45" customWidth="1"/>
    <col min="14587" max="14587" width="10.140625" style="45" customWidth="1"/>
    <col min="14588" max="14588" width="12.28515625" style="45" customWidth="1"/>
    <col min="14589" max="14589" width="15.42578125" style="45" customWidth="1"/>
    <col min="14590" max="14590" width="11.85546875" style="45" customWidth="1"/>
    <col min="14591" max="14591" width="13.28515625" style="45" customWidth="1"/>
    <col min="14592" max="14592" width="15.28515625" style="45" customWidth="1"/>
    <col min="14593" max="14593" width="11.85546875" style="45" customWidth="1"/>
    <col min="14594" max="14594" width="6.140625" style="45" customWidth="1"/>
    <col min="14595" max="14595" width="11.85546875" style="45" customWidth="1"/>
    <col min="14596" max="14596" width="9.42578125" style="45" customWidth="1"/>
    <col min="14597" max="14597" width="14.7109375" style="45" customWidth="1"/>
    <col min="14598" max="14598" width="11.5703125" style="45" customWidth="1"/>
    <col min="14599" max="14599" width="0.42578125" style="45" customWidth="1"/>
    <col min="14600" max="14600" width="10.5703125" style="45" bestFit="1" customWidth="1"/>
    <col min="14601" max="14601" width="12.28515625" style="45" customWidth="1"/>
    <col min="14602" max="14602" width="12.5703125" style="45" customWidth="1"/>
    <col min="14603" max="14603" width="10.5703125" style="45" customWidth="1"/>
    <col min="14604" max="14604" width="10.140625" style="45" customWidth="1"/>
    <col min="14605" max="14605" width="8.42578125" style="45" customWidth="1"/>
    <col min="14606" max="14606" width="18.85546875" style="45" customWidth="1"/>
    <col min="14607" max="14607" width="10.28515625" style="45" customWidth="1"/>
    <col min="14608" max="14608" width="11.42578125" style="45"/>
    <col min="14609" max="14609" width="12.140625" style="45" customWidth="1"/>
    <col min="14610" max="14610" width="10.5703125" style="45" customWidth="1"/>
    <col min="14611" max="14611" width="12.42578125" style="45" customWidth="1"/>
    <col min="14612" max="14612" width="15.140625" style="45" customWidth="1"/>
    <col min="14613" max="14613" width="13.5703125" style="45" customWidth="1"/>
    <col min="14614" max="14614" width="13.140625" style="45" customWidth="1"/>
    <col min="14615" max="14615" width="15.7109375" style="45" customWidth="1"/>
    <col min="14616" max="14616" width="37.5703125" style="45" customWidth="1"/>
    <col min="14617" max="14838" width="11.42578125" style="45"/>
    <col min="14839" max="14839" width="10.5703125" style="45" customWidth="1"/>
    <col min="14840" max="14840" width="4.85546875" style="45" customWidth="1"/>
    <col min="14841" max="14841" width="32.42578125" style="45" customWidth="1"/>
    <col min="14842" max="14842" width="9.85546875" style="45" customWidth="1"/>
    <col min="14843" max="14843" width="10.140625" style="45" customWidth="1"/>
    <col min="14844" max="14844" width="12.28515625" style="45" customWidth="1"/>
    <col min="14845" max="14845" width="15.42578125" style="45" customWidth="1"/>
    <col min="14846" max="14846" width="11.85546875" style="45" customWidth="1"/>
    <col min="14847" max="14847" width="13.28515625" style="45" customWidth="1"/>
    <col min="14848" max="14848" width="15.28515625" style="45" customWidth="1"/>
    <col min="14849" max="14849" width="11.85546875" style="45" customWidth="1"/>
    <col min="14850" max="14850" width="6.140625" style="45" customWidth="1"/>
    <col min="14851" max="14851" width="11.85546875" style="45" customWidth="1"/>
    <col min="14852" max="14852" width="9.42578125" style="45" customWidth="1"/>
    <col min="14853" max="14853" width="14.7109375" style="45" customWidth="1"/>
    <col min="14854" max="14854" width="11.5703125" style="45" customWidth="1"/>
    <col min="14855" max="14855" width="0.42578125" style="45" customWidth="1"/>
    <col min="14856" max="14856" width="10.5703125" style="45" bestFit="1" customWidth="1"/>
    <col min="14857" max="14857" width="12.28515625" style="45" customWidth="1"/>
    <col min="14858" max="14858" width="12.5703125" style="45" customWidth="1"/>
    <col min="14859" max="14859" width="10.5703125" style="45" customWidth="1"/>
    <col min="14860" max="14860" width="10.140625" style="45" customWidth="1"/>
    <col min="14861" max="14861" width="8.42578125" style="45" customWidth="1"/>
    <col min="14862" max="14862" width="18.85546875" style="45" customWidth="1"/>
    <col min="14863" max="14863" width="10.28515625" style="45" customWidth="1"/>
    <col min="14864" max="14864" width="11.42578125" style="45"/>
    <col min="14865" max="14865" width="12.140625" style="45" customWidth="1"/>
    <col min="14866" max="14866" width="10.5703125" style="45" customWidth="1"/>
    <col min="14867" max="14867" width="12.42578125" style="45" customWidth="1"/>
    <col min="14868" max="14868" width="15.140625" style="45" customWidth="1"/>
    <col min="14869" max="14869" width="13.5703125" style="45" customWidth="1"/>
    <col min="14870" max="14870" width="13.140625" style="45" customWidth="1"/>
    <col min="14871" max="14871" width="15.7109375" style="45" customWidth="1"/>
    <col min="14872" max="14872" width="37.5703125" style="45" customWidth="1"/>
    <col min="14873" max="15094" width="11.42578125" style="45"/>
    <col min="15095" max="15095" width="10.5703125" style="45" customWidth="1"/>
    <col min="15096" max="15096" width="4.85546875" style="45" customWidth="1"/>
    <col min="15097" max="15097" width="32.42578125" style="45" customWidth="1"/>
    <col min="15098" max="15098" width="9.85546875" style="45" customWidth="1"/>
    <col min="15099" max="15099" width="10.140625" style="45" customWidth="1"/>
    <col min="15100" max="15100" width="12.28515625" style="45" customWidth="1"/>
    <col min="15101" max="15101" width="15.42578125" style="45" customWidth="1"/>
    <col min="15102" max="15102" width="11.85546875" style="45" customWidth="1"/>
    <col min="15103" max="15103" width="13.28515625" style="45" customWidth="1"/>
    <col min="15104" max="15104" width="15.28515625" style="45" customWidth="1"/>
    <col min="15105" max="15105" width="11.85546875" style="45" customWidth="1"/>
    <col min="15106" max="15106" width="6.140625" style="45" customWidth="1"/>
    <col min="15107" max="15107" width="11.85546875" style="45" customWidth="1"/>
    <col min="15108" max="15108" width="9.42578125" style="45" customWidth="1"/>
    <col min="15109" max="15109" width="14.7109375" style="45" customWidth="1"/>
    <col min="15110" max="15110" width="11.5703125" style="45" customWidth="1"/>
    <col min="15111" max="15111" width="0.42578125" style="45" customWidth="1"/>
    <col min="15112" max="15112" width="10.5703125" style="45" bestFit="1" customWidth="1"/>
    <col min="15113" max="15113" width="12.28515625" style="45" customWidth="1"/>
    <col min="15114" max="15114" width="12.5703125" style="45" customWidth="1"/>
    <col min="15115" max="15115" width="10.5703125" style="45" customWidth="1"/>
    <col min="15116" max="15116" width="10.140625" style="45" customWidth="1"/>
    <col min="15117" max="15117" width="8.42578125" style="45" customWidth="1"/>
    <col min="15118" max="15118" width="18.85546875" style="45" customWidth="1"/>
    <col min="15119" max="15119" width="10.28515625" style="45" customWidth="1"/>
    <col min="15120" max="15120" width="11.42578125" style="45"/>
    <col min="15121" max="15121" width="12.140625" style="45" customWidth="1"/>
    <col min="15122" max="15122" width="10.5703125" style="45" customWidth="1"/>
    <col min="15123" max="15123" width="12.42578125" style="45" customWidth="1"/>
    <col min="15124" max="15124" width="15.140625" style="45" customWidth="1"/>
    <col min="15125" max="15125" width="13.5703125" style="45" customWidth="1"/>
    <col min="15126" max="15126" width="13.140625" style="45" customWidth="1"/>
    <col min="15127" max="15127" width="15.7109375" style="45" customWidth="1"/>
    <col min="15128" max="15128" width="37.5703125" style="45" customWidth="1"/>
    <col min="15129" max="15350" width="11.42578125" style="45"/>
    <col min="15351" max="15351" width="10.5703125" style="45" customWidth="1"/>
    <col min="15352" max="15352" width="4.85546875" style="45" customWidth="1"/>
    <col min="15353" max="15353" width="32.42578125" style="45" customWidth="1"/>
    <col min="15354" max="15354" width="9.85546875" style="45" customWidth="1"/>
    <col min="15355" max="15355" width="10.140625" style="45" customWidth="1"/>
    <col min="15356" max="15356" width="12.28515625" style="45" customWidth="1"/>
    <col min="15357" max="15357" width="15.42578125" style="45" customWidth="1"/>
    <col min="15358" max="15358" width="11.85546875" style="45" customWidth="1"/>
    <col min="15359" max="15359" width="13.28515625" style="45" customWidth="1"/>
    <col min="15360" max="15360" width="15.28515625" style="45" customWidth="1"/>
    <col min="15361" max="15361" width="11.85546875" style="45" customWidth="1"/>
    <col min="15362" max="15362" width="6.140625" style="45" customWidth="1"/>
    <col min="15363" max="15363" width="11.85546875" style="45" customWidth="1"/>
    <col min="15364" max="15364" width="9.42578125" style="45" customWidth="1"/>
    <col min="15365" max="15365" width="14.7109375" style="45" customWidth="1"/>
    <col min="15366" max="15366" width="11.5703125" style="45" customWidth="1"/>
    <col min="15367" max="15367" width="0.42578125" style="45" customWidth="1"/>
    <col min="15368" max="15368" width="10.5703125" style="45" bestFit="1" customWidth="1"/>
    <col min="15369" max="15369" width="12.28515625" style="45" customWidth="1"/>
    <col min="15370" max="15370" width="12.5703125" style="45" customWidth="1"/>
    <col min="15371" max="15371" width="10.5703125" style="45" customWidth="1"/>
    <col min="15372" max="15372" width="10.140625" style="45" customWidth="1"/>
    <col min="15373" max="15373" width="8.42578125" style="45" customWidth="1"/>
    <col min="15374" max="15374" width="18.85546875" style="45" customWidth="1"/>
    <col min="15375" max="15375" width="10.28515625" style="45" customWidth="1"/>
    <col min="15376" max="15376" width="11.42578125" style="45"/>
    <col min="15377" max="15377" width="12.140625" style="45" customWidth="1"/>
    <col min="15378" max="15378" width="10.5703125" style="45" customWidth="1"/>
    <col min="15379" max="15379" width="12.42578125" style="45" customWidth="1"/>
    <col min="15380" max="15380" width="15.140625" style="45" customWidth="1"/>
    <col min="15381" max="15381" width="13.5703125" style="45" customWidth="1"/>
    <col min="15382" max="15382" width="13.140625" style="45" customWidth="1"/>
    <col min="15383" max="15383" width="15.7109375" style="45" customWidth="1"/>
    <col min="15384" max="15384" width="37.5703125" style="45" customWidth="1"/>
    <col min="15385" max="15606" width="11.42578125" style="45"/>
    <col min="15607" max="15607" width="10.5703125" style="45" customWidth="1"/>
    <col min="15608" max="15608" width="4.85546875" style="45" customWidth="1"/>
    <col min="15609" max="15609" width="32.42578125" style="45" customWidth="1"/>
    <col min="15610" max="15610" width="9.85546875" style="45" customWidth="1"/>
    <col min="15611" max="15611" width="10.140625" style="45" customWidth="1"/>
    <col min="15612" max="15612" width="12.28515625" style="45" customWidth="1"/>
    <col min="15613" max="15613" width="15.42578125" style="45" customWidth="1"/>
    <col min="15614" max="15614" width="11.85546875" style="45" customWidth="1"/>
    <col min="15615" max="15615" width="13.28515625" style="45" customWidth="1"/>
    <col min="15616" max="15616" width="15.28515625" style="45" customWidth="1"/>
    <col min="15617" max="15617" width="11.85546875" style="45" customWidth="1"/>
    <col min="15618" max="15618" width="6.140625" style="45" customWidth="1"/>
    <col min="15619" max="15619" width="11.85546875" style="45" customWidth="1"/>
    <col min="15620" max="15620" width="9.42578125" style="45" customWidth="1"/>
    <col min="15621" max="15621" width="14.7109375" style="45" customWidth="1"/>
    <col min="15622" max="15622" width="11.5703125" style="45" customWidth="1"/>
    <col min="15623" max="15623" width="0.42578125" style="45" customWidth="1"/>
    <col min="15624" max="15624" width="10.5703125" style="45" bestFit="1" customWidth="1"/>
    <col min="15625" max="15625" width="12.28515625" style="45" customWidth="1"/>
    <col min="15626" max="15626" width="12.5703125" style="45" customWidth="1"/>
    <col min="15627" max="15627" width="10.5703125" style="45" customWidth="1"/>
    <col min="15628" max="15628" width="10.140625" style="45" customWidth="1"/>
    <col min="15629" max="15629" width="8.42578125" style="45" customWidth="1"/>
    <col min="15630" max="15630" width="18.85546875" style="45" customWidth="1"/>
    <col min="15631" max="15631" width="10.28515625" style="45" customWidth="1"/>
    <col min="15632" max="15632" width="11.42578125" style="45"/>
    <col min="15633" max="15633" width="12.140625" style="45" customWidth="1"/>
    <col min="15634" max="15634" width="10.5703125" style="45" customWidth="1"/>
    <col min="15635" max="15635" width="12.42578125" style="45" customWidth="1"/>
    <col min="15636" max="15636" width="15.140625" style="45" customWidth="1"/>
    <col min="15637" max="15637" width="13.5703125" style="45" customWidth="1"/>
    <col min="15638" max="15638" width="13.140625" style="45" customWidth="1"/>
    <col min="15639" max="15639" width="15.7109375" style="45" customWidth="1"/>
    <col min="15640" max="15640" width="37.5703125" style="45" customWidth="1"/>
    <col min="15641" max="15862" width="11.42578125" style="45"/>
    <col min="15863" max="15863" width="10.5703125" style="45" customWidth="1"/>
    <col min="15864" max="15864" width="4.85546875" style="45" customWidth="1"/>
    <col min="15865" max="15865" width="32.42578125" style="45" customWidth="1"/>
    <col min="15866" max="15866" width="9.85546875" style="45" customWidth="1"/>
    <col min="15867" max="15867" width="10.140625" style="45" customWidth="1"/>
    <col min="15868" max="15868" width="12.28515625" style="45" customWidth="1"/>
    <col min="15869" max="15869" width="15.42578125" style="45" customWidth="1"/>
    <col min="15870" max="15870" width="11.85546875" style="45" customWidth="1"/>
    <col min="15871" max="15871" width="13.28515625" style="45" customWidth="1"/>
    <col min="15872" max="15872" width="15.28515625" style="45" customWidth="1"/>
    <col min="15873" max="15873" width="11.85546875" style="45" customWidth="1"/>
    <col min="15874" max="15874" width="6.140625" style="45" customWidth="1"/>
    <col min="15875" max="15875" width="11.85546875" style="45" customWidth="1"/>
    <col min="15876" max="15876" width="9.42578125" style="45" customWidth="1"/>
    <col min="15877" max="15877" width="14.7109375" style="45" customWidth="1"/>
    <col min="15878" max="15878" width="11.5703125" style="45" customWidth="1"/>
    <col min="15879" max="15879" width="0.42578125" style="45" customWidth="1"/>
    <col min="15880" max="15880" width="10.5703125" style="45" bestFit="1" customWidth="1"/>
    <col min="15881" max="15881" width="12.28515625" style="45" customWidth="1"/>
    <col min="15882" max="15882" width="12.5703125" style="45" customWidth="1"/>
    <col min="15883" max="15883" width="10.5703125" style="45" customWidth="1"/>
    <col min="15884" max="15884" width="10.140625" style="45" customWidth="1"/>
    <col min="15885" max="15885" width="8.42578125" style="45" customWidth="1"/>
    <col min="15886" max="15886" width="18.85546875" style="45" customWidth="1"/>
    <col min="15887" max="15887" width="10.28515625" style="45" customWidth="1"/>
    <col min="15888" max="15888" width="11.42578125" style="45"/>
    <col min="15889" max="15889" width="12.140625" style="45" customWidth="1"/>
    <col min="15890" max="15890" width="10.5703125" style="45" customWidth="1"/>
    <col min="15891" max="15891" width="12.42578125" style="45" customWidth="1"/>
    <col min="15892" max="15892" width="15.140625" style="45" customWidth="1"/>
    <col min="15893" max="15893" width="13.5703125" style="45" customWidth="1"/>
    <col min="15894" max="15894" width="13.140625" style="45" customWidth="1"/>
    <col min="15895" max="15895" width="15.7109375" style="45" customWidth="1"/>
    <col min="15896" max="15896" width="37.5703125" style="45" customWidth="1"/>
    <col min="15897" max="16118" width="11.42578125" style="45"/>
    <col min="16119" max="16119" width="10.5703125" style="45" customWidth="1"/>
    <col min="16120" max="16120" width="4.85546875" style="45" customWidth="1"/>
    <col min="16121" max="16121" width="32.42578125" style="45" customWidth="1"/>
    <col min="16122" max="16122" width="9.85546875" style="45" customWidth="1"/>
    <col min="16123" max="16123" width="10.140625" style="45" customWidth="1"/>
    <col min="16124" max="16124" width="12.28515625" style="45" customWidth="1"/>
    <col min="16125" max="16125" width="15.42578125" style="45" customWidth="1"/>
    <col min="16126" max="16126" width="11.85546875" style="45" customWidth="1"/>
    <col min="16127" max="16127" width="13.28515625" style="45" customWidth="1"/>
    <col min="16128" max="16128" width="15.28515625" style="45" customWidth="1"/>
    <col min="16129" max="16129" width="11.85546875" style="45" customWidth="1"/>
    <col min="16130" max="16130" width="6.140625" style="45" customWidth="1"/>
    <col min="16131" max="16131" width="11.85546875" style="45" customWidth="1"/>
    <col min="16132" max="16132" width="9.42578125" style="45" customWidth="1"/>
    <col min="16133" max="16133" width="14.7109375" style="45" customWidth="1"/>
    <col min="16134" max="16134" width="11.5703125" style="45" customWidth="1"/>
    <col min="16135" max="16135" width="0.42578125" style="45" customWidth="1"/>
    <col min="16136" max="16136" width="10.5703125" style="45" bestFit="1" customWidth="1"/>
    <col min="16137" max="16137" width="12.28515625" style="45" customWidth="1"/>
    <col min="16138" max="16138" width="12.5703125" style="45" customWidth="1"/>
    <col min="16139" max="16139" width="10.5703125" style="45" customWidth="1"/>
    <col min="16140" max="16140" width="10.140625" style="45" customWidth="1"/>
    <col min="16141" max="16141" width="8.42578125" style="45" customWidth="1"/>
    <col min="16142" max="16142" width="18.85546875" style="45" customWidth="1"/>
    <col min="16143" max="16143" width="10.28515625" style="45" customWidth="1"/>
    <col min="16144" max="16144" width="11.42578125" style="45"/>
    <col min="16145" max="16145" width="12.140625" style="45" customWidth="1"/>
    <col min="16146" max="16146" width="10.5703125" style="45" customWidth="1"/>
    <col min="16147" max="16147" width="12.42578125" style="45" customWidth="1"/>
    <col min="16148" max="16148" width="15.140625" style="45" customWidth="1"/>
    <col min="16149" max="16149" width="13.5703125" style="45" customWidth="1"/>
    <col min="16150" max="16150" width="13.140625" style="45" customWidth="1"/>
    <col min="16151" max="16151" width="15.7109375" style="45" customWidth="1"/>
    <col min="16152" max="16152" width="37.5703125" style="45" customWidth="1"/>
    <col min="16153" max="16384" width="11.42578125" style="45"/>
  </cols>
  <sheetData>
    <row r="1" spans="1:24" x14ac:dyDescent="0.25"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4"/>
      <c r="W1" s="44"/>
      <c r="X1" s="4"/>
    </row>
    <row r="2" spans="1:24" x14ac:dyDescent="0.25">
      <c r="C2" s="3" t="s">
        <v>1</v>
      </c>
      <c r="D2" s="4"/>
      <c r="E2" s="88" t="s">
        <v>2</v>
      </c>
      <c r="F2" s="88"/>
      <c r="G2" s="88"/>
      <c r="H2" s="88"/>
      <c r="I2" s="88"/>
      <c r="J2" s="88"/>
      <c r="K2" s="88"/>
      <c r="L2" s="88" t="s">
        <v>3</v>
      </c>
      <c r="M2" s="88"/>
      <c r="N2" s="88"/>
      <c r="O2" s="88"/>
      <c r="P2" s="88"/>
      <c r="Q2" s="88"/>
      <c r="R2" s="88"/>
      <c r="S2" s="88"/>
      <c r="T2" s="88"/>
      <c r="U2" s="4"/>
      <c r="V2" s="4"/>
      <c r="W2" s="44"/>
      <c r="X2" s="4"/>
    </row>
    <row r="3" spans="1:24" ht="60" x14ac:dyDescent="0.25">
      <c r="A3" s="89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13</v>
      </c>
      <c r="K3" s="12" t="s">
        <v>14</v>
      </c>
      <c r="L3" s="12" t="s">
        <v>15</v>
      </c>
      <c r="M3" s="12" t="s">
        <v>16</v>
      </c>
      <c r="N3" s="12" t="s">
        <v>17</v>
      </c>
      <c r="O3" s="12" t="s">
        <v>18</v>
      </c>
      <c r="P3" s="12" t="s">
        <v>19</v>
      </c>
      <c r="Q3" s="12" t="s">
        <v>20</v>
      </c>
      <c r="R3" s="12" t="s">
        <v>21</v>
      </c>
      <c r="S3" s="12" t="s">
        <v>22</v>
      </c>
      <c r="T3" s="12" t="s">
        <v>23</v>
      </c>
      <c r="U3" s="6" t="s">
        <v>24</v>
      </c>
      <c r="V3" s="6"/>
      <c r="W3" s="46"/>
      <c r="X3" s="6" t="s">
        <v>25</v>
      </c>
    </row>
    <row r="4" spans="1:24" x14ac:dyDescent="0.25">
      <c r="A4" s="90"/>
      <c r="B4" s="4">
        <v>1</v>
      </c>
      <c r="C4" s="11" t="s">
        <v>26</v>
      </c>
      <c r="D4" s="6" t="s">
        <v>27</v>
      </c>
      <c r="E4" s="5">
        <v>4815000</v>
      </c>
      <c r="F4" s="5">
        <v>30</v>
      </c>
      <c r="G4" s="5">
        <v>4815000</v>
      </c>
      <c r="H4" s="5"/>
      <c r="I4" s="5"/>
      <c r="J4" s="5"/>
      <c r="K4" s="5">
        <f t="shared" ref="K4:K34" si="0">SUM(G4:I4)+J4</f>
        <v>4815000</v>
      </c>
      <c r="L4" s="5">
        <f t="shared" ref="L4:L45" si="1">+G4*4%</f>
        <v>192600</v>
      </c>
      <c r="M4" s="5">
        <f>+G4*5%</f>
        <v>240750</v>
      </c>
      <c r="N4" s="5"/>
      <c r="O4" s="5"/>
      <c r="P4" s="5">
        <v>19000</v>
      </c>
      <c r="Q4" s="5"/>
      <c r="R4" s="5"/>
      <c r="S4" s="5"/>
      <c r="T4" s="5">
        <f t="shared" ref="T4:T67" si="2">SUM(L4:S4)</f>
        <v>452350</v>
      </c>
      <c r="U4" s="7">
        <f t="shared" ref="U4:U8" si="3">+K4-T4</f>
        <v>4362650</v>
      </c>
      <c r="V4" s="7"/>
      <c r="W4" s="44"/>
      <c r="X4" s="7">
        <f t="shared" ref="X4:X67" si="4">U4+V4-W4</f>
        <v>4362650</v>
      </c>
    </row>
    <row r="5" spans="1:24" ht="24" x14ac:dyDescent="0.25">
      <c r="A5" s="90"/>
      <c r="B5" s="4">
        <v>2</v>
      </c>
      <c r="C5" s="11" t="s">
        <v>28</v>
      </c>
      <c r="D5" s="6" t="s">
        <v>27</v>
      </c>
      <c r="E5" s="5">
        <v>4000000</v>
      </c>
      <c r="F5" s="5">
        <v>30</v>
      </c>
      <c r="G5" s="5">
        <f t="shared" ref="G5:G8" si="5">+E5/30*F5</f>
        <v>4000000.0000000005</v>
      </c>
      <c r="H5" s="5"/>
      <c r="I5" s="5">
        <v>800000</v>
      </c>
      <c r="J5" s="5"/>
      <c r="K5" s="5">
        <f t="shared" si="0"/>
        <v>4800000</v>
      </c>
      <c r="L5" s="5">
        <f>+E5*4%</f>
        <v>160000</v>
      </c>
      <c r="M5" s="5">
        <f>+E5*5%</f>
        <v>200000</v>
      </c>
      <c r="N5" s="5"/>
      <c r="O5" s="5"/>
      <c r="P5" s="5">
        <v>31064</v>
      </c>
      <c r="Q5" s="5"/>
      <c r="R5" s="5"/>
      <c r="S5" s="5"/>
      <c r="T5" s="5">
        <f t="shared" si="2"/>
        <v>391064</v>
      </c>
      <c r="U5" s="7">
        <f t="shared" si="3"/>
        <v>4408936</v>
      </c>
      <c r="V5" s="7"/>
      <c r="W5" s="44"/>
      <c r="X5" s="7">
        <f t="shared" si="4"/>
        <v>4408936</v>
      </c>
    </row>
    <row r="6" spans="1:24" x14ac:dyDescent="0.25">
      <c r="A6" s="90"/>
      <c r="B6" s="4">
        <v>3</v>
      </c>
      <c r="C6" s="11" t="s">
        <v>29</v>
      </c>
      <c r="D6" s="6" t="s">
        <v>27</v>
      </c>
      <c r="E6" s="5">
        <v>5500000</v>
      </c>
      <c r="F6" s="5">
        <v>23</v>
      </c>
      <c r="G6" s="5">
        <f>5500000-J6</f>
        <v>4150000</v>
      </c>
      <c r="H6" s="5"/>
      <c r="I6" s="5"/>
      <c r="J6" s="5">
        <v>1350000</v>
      </c>
      <c r="K6" s="5">
        <f t="shared" si="0"/>
        <v>5500000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4903000</v>
      </c>
      <c r="V6" s="7"/>
      <c r="W6" s="44"/>
      <c r="X6" s="7">
        <f t="shared" si="4"/>
        <v>4903000</v>
      </c>
    </row>
    <row r="7" spans="1:24" x14ac:dyDescent="0.25">
      <c r="A7" s="90"/>
      <c r="B7" s="4">
        <v>4</v>
      </c>
      <c r="C7" s="11" t="s">
        <v>30</v>
      </c>
      <c r="D7" s="6" t="s">
        <v>27</v>
      </c>
      <c r="E7" s="5">
        <v>5492319</v>
      </c>
      <c r="F7" s="5">
        <v>20</v>
      </c>
      <c r="G7" s="5">
        <f t="shared" si="5"/>
        <v>3661546</v>
      </c>
      <c r="H7" s="5"/>
      <c r="I7" s="5"/>
      <c r="J7" s="5"/>
      <c r="K7" s="5">
        <f t="shared" si="0"/>
        <v>3661546</v>
      </c>
      <c r="L7" s="5">
        <f>+K7*4%</f>
        <v>146461.84</v>
      </c>
      <c r="M7" s="5">
        <f>+K7*5%</f>
        <v>183077.30000000002</v>
      </c>
      <c r="N7" s="5"/>
      <c r="O7" s="5"/>
      <c r="P7" s="17">
        <v>196000</v>
      </c>
      <c r="Q7" s="5"/>
      <c r="R7" s="5"/>
      <c r="S7" s="5">
        <v>726520</v>
      </c>
      <c r="T7" s="5">
        <f t="shared" si="2"/>
        <v>1252059.1400000001</v>
      </c>
      <c r="U7" s="7">
        <f t="shared" si="3"/>
        <v>2409486.86</v>
      </c>
      <c r="V7" s="7"/>
      <c r="W7" s="44"/>
      <c r="X7" s="7">
        <f t="shared" si="4"/>
        <v>2409486.86</v>
      </c>
    </row>
    <row r="8" spans="1:24" x14ac:dyDescent="0.25">
      <c r="A8" s="90"/>
      <c r="B8" s="4">
        <v>5</v>
      </c>
      <c r="C8" s="11" t="s">
        <v>31</v>
      </c>
      <c r="D8" s="6" t="s">
        <v>27</v>
      </c>
      <c r="E8" s="5">
        <v>5000000</v>
      </c>
      <c r="F8" s="5">
        <v>30</v>
      </c>
      <c r="G8" s="5">
        <f t="shared" si="5"/>
        <v>5000000</v>
      </c>
      <c r="H8" s="5"/>
      <c r="I8" s="5">
        <v>2012670</v>
      </c>
      <c r="J8" s="5"/>
      <c r="K8" s="5">
        <f t="shared" si="0"/>
        <v>7012670</v>
      </c>
      <c r="L8" s="5">
        <f t="shared" si="1"/>
        <v>200000</v>
      </c>
      <c r="M8" s="5">
        <f t="shared" ref="M8:M33" si="6">+G8*5%</f>
        <v>250000</v>
      </c>
      <c r="N8" s="5"/>
      <c r="O8" s="5"/>
      <c r="P8" s="5">
        <v>99000</v>
      </c>
      <c r="Q8" s="5"/>
      <c r="R8" s="5"/>
      <c r="S8" s="5"/>
      <c r="T8" s="5">
        <f t="shared" si="2"/>
        <v>549000</v>
      </c>
      <c r="U8" s="7">
        <f t="shared" si="3"/>
        <v>6463670</v>
      </c>
      <c r="V8" s="7"/>
      <c r="W8" s="44"/>
      <c r="X8" s="7">
        <f t="shared" si="4"/>
        <v>6463670</v>
      </c>
    </row>
    <row r="9" spans="1:24" x14ac:dyDescent="0.25">
      <c r="A9" s="90"/>
      <c r="B9" s="4">
        <v>6</v>
      </c>
      <c r="C9" s="11" t="s">
        <v>32</v>
      </c>
      <c r="D9" s="6" t="s">
        <v>27</v>
      </c>
      <c r="E9" s="5">
        <v>4500000</v>
      </c>
      <c r="F9" s="5">
        <v>30</v>
      </c>
      <c r="G9" s="5">
        <f>E9/30*F9</f>
        <v>4500000</v>
      </c>
      <c r="H9" s="5"/>
      <c r="I9" s="5"/>
      <c r="J9" s="5"/>
      <c r="K9" s="5">
        <f t="shared" si="0"/>
        <v>4500000</v>
      </c>
      <c r="L9" s="5">
        <f>+E9*4%</f>
        <v>180000</v>
      </c>
      <c r="M9" s="5">
        <f>+E9*5%</f>
        <v>225000</v>
      </c>
      <c r="N9" s="5"/>
      <c r="O9" s="5"/>
      <c r="P9" s="5">
        <v>2545</v>
      </c>
      <c r="Q9" s="5"/>
      <c r="R9" s="5"/>
      <c r="S9" s="5">
        <v>945750</v>
      </c>
      <c r="T9" s="5">
        <f t="shared" si="2"/>
        <v>1353295</v>
      </c>
      <c r="U9" s="7">
        <f>K9-T9</f>
        <v>3146705</v>
      </c>
      <c r="V9" s="7"/>
      <c r="W9" s="44"/>
      <c r="X9" s="7">
        <f t="shared" si="4"/>
        <v>3146705</v>
      </c>
    </row>
    <row r="10" spans="1:24" x14ac:dyDescent="0.25">
      <c r="A10" s="90"/>
      <c r="B10" s="4">
        <v>7</v>
      </c>
      <c r="C10" s="11" t="s">
        <v>33</v>
      </c>
      <c r="D10" s="6" t="s">
        <v>27</v>
      </c>
      <c r="E10" s="5">
        <v>4500000</v>
      </c>
      <c r="F10" s="5">
        <v>30</v>
      </c>
      <c r="G10" s="5">
        <f>E10/30*F10</f>
        <v>4500000</v>
      </c>
      <c r="H10" s="5"/>
      <c r="I10" s="5"/>
      <c r="J10" s="5"/>
      <c r="K10" s="5">
        <f t="shared" ref="K10:K11" si="7">SUM(G10:I10)+J10</f>
        <v>4500000</v>
      </c>
      <c r="L10" s="5">
        <f>+E10*4%</f>
        <v>180000</v>
      </c>
      <c r="M10" s="5">
        <f>+E10*5%</f>
        <v>225000</v>
      </c>
      <c r="N10" s="5"/>
      <c r="O10" s="5"/>
      <c r="P10" s="5">
        <v>10000</v>
      </c>
      <c r="Q10" s="5"/>
      <c r="R10" s="5"/>
      <c r="S10" s="5"/>
      <c r="T10" s="5">
        <f t="shared" ref="T10:T11" si="8">SUM(L10:S10)</f>
        <v>415000</v>
      </c>
      <c r="U10" s="7">
        <f>K10-T10</f>
        <v>4085000</v>
      </c>
      <c r="V10" s="7"/>
      <c r="W10" s="44"/>
      <c r="X10" s="7">
        <f t="shared" si="4"/>
        <v>4085000</v>
      </c>
    </row>
    <row r="11" spans="1:24" ht="24" x14ac:dyDescent="0.25">
      <c r="A11" s="90"/>
      <c r="B11" s="4">
        <v>8</v>
      </c>
      <c r="C11" s="11" t="s">
        <v>34</v>
      </c>
      <c r="D11" s="6" t="s">
        <v>35</v>
      </c>
      <c r="E11" s="5">
        <v>4500000</v>
      </c>
      <c r="F11" s="5">
        <v>30</v>
      </c>
      <c r="G11" s="5">
        <f>E11/30*F11</f>
        <v>4500000</v>
      </c>
      <c r="H11" s="5"/>
      <c r="I11" s="5"/>
      <c r="J11" s="5"/>
      <c r="K11" s="5">
        <f t="shared" si="7"/>
        <v>4500000</v>
      </c>
      <c r="L11" s="5">
        <f>+G11*4%</f>
        <v>180000</v>
      </c>
      <c r="M11" s="5">
        <f>+G11*5%</f>
        <v>225000</v>
      </c>
      <c r="N11" s="5"/>
      <c r="O11" s="5"/>
      <c r="P11" s="17">
        <v>72000</v>
      </c>
      <c r="Q11" s="5"/>
      <c r="R11" s="5"/>
      <c r="S11" s="5"/>
      <c r="T11" s="5">
        <f t="shared" si="8"/>
        <v>477000</v>
      </c>
      <c r="U11" s="7">
        <f>K11-T11</f>
        <v>4023000</v>
      </c>
      <c r="V11" s="7"/>
      <c r="W11" s="44"/>
      <c r="X11" s="7">
        <f t="shared" si="4"/>
        <v>4023000</v>
      </c>
    </row>
    <row r="12" spans="1:24" x14ac:dyDescent="0.25">
      <c r="A12" s="90"/>
      <c r="B12" s="4">
        <v>9</v>
      </c>
      <c r="C12" s="11" t="s">
        <v>36</v>
      </c>
      <c r="D12" s="6" t="s">
        <v>27</v>
      </c>
      <c r="E12" s="5">
        <v>5400000</v>
      </c>
      <c r="F12" s="5">
        <v>30</v>
      </c>
      <c r="G12" s="5">
        <f>+E12/30*F12</f>
        <v>5400000</v>
      </c>
      <c r="H12" s="5"/>
      <c r="I12" s="5"/>
      <c r="J12" s="5"/>
      <c r="K12" s="5">
        <f t="shared" si="0"/>
        <v>5400000</v>
      </c>
      <c r="L12" s="5">
        <f>+G12*4%</f>
        <v>216000</v>
      </c>
      <c r="M12" s="5">
        <f>+G12*5%</f>
        <v>270000</v>
      </c>
      <c r="N12" s="5"/>
      <c r="O12" s="5"/>
      <c r="P12" s="5">
        <v>6248</v>
      </c>
      <c r="Q12" s="5"/>
      <c r="R12" s="5"/>
      <c r="S12" s="5"/>
      <c r="T12" s="5">
        <f t="shared" si="2"/>
        <v>492248</v>
      </c>
      <c r="U12" s="7">
        <f t="shared" ref="U12:U18" si="9">+K12-T12</f>
        <v>4907752</v>
      </c>
      <c r="V12" s="7"/>
      <c r="W12" s="44"/>
      <c r="X12" s="7">
        <f t="shared" si="4"/>
        <v>4907752</v>
      </c>
    </row>
    <row r="13" spans="1:24" x14ac:dyDescent="0.25">
      <c r="A13" s="90"/>
      <c r="B13" s="4">
        <v>10</v>
      </c>
      <c r="C13" s="3" t="s">
        <v>37</v>
      </c>
      <c r="D13" s="4" t="s">
        <v>27</v>
      </c>
      <c r="E13" s="5">
        <v>4500000</v>
      </c>
      <c r="F13" s="5">
        <v>28</v>
      </c>
      <c r="G13" s="5">
        <f t="shared" ref="G13:G18" si="10">+E13/30*F13</f>
        <v>4200000</v>
      </c>
      <c r="H13" s="5">
        <v>200010</v>
      </c>
      <c r="I13" s="5"/>
      <c r="J13" s="5"/>
      <c r="K13" s="5">
        <f t="shared" si="0"/>
        <v>4400010</v>
      </c>
      <c r="L13" s="5">
        <v>180000</v>
      </c>
      <c r="M13" s="5">
        <v>225000</v>
      </c>
      <c r="N13" s="5"/>
      <c r="O13" s="5"/>
      <c r="P13" s="5">
        <v>3000</v>
      </c>
      <c r="Q13" s="5"/>
      <c r="R13" s="5"/>
      <c r="S13" s="5"/>
      <c r="T13" s="5">
        <f t="shared" si="2"/>
        <v>408000</v>
      </c>
      <c r="U13" s="7">
        <f t="shared" si="9"/>
        <v>3992010</v>
      </c>
      <c r="V13" s="7"/>
      <c r="W13" s="44"/>
      <c r="X13" s="7">
        <f t="shared" si="4"/>
        <v>3992010</v>
      </c>
    </row>
    <row r="14" spans="1:24" x14ac:dyDescent="0.25">
      <c r="A14" s="90"/>
      <c r="B14" s="4">
        <v>11</v>
      </c>
      <c r="C14" s="3" t="s">
        <v>38</v>
      </c>
      <c r="D14" s="4" t="s">
        <v>27</v>
      </c>
      <c r="E14" s="5">
        <v>4200000</v>
      </c>
      <c r="F14" s="5">
        <v>30</v>
      </c>
      <c r="G14" s="5">
        <f t="shared" si="10"/>
        <v>4200000</v>
      </c>
      <c r="H14" s="5"/>
      <c r="I14" s="5"/>
      <c r="J14" s="5"/>
      <c r="K14" s="5">
        <f t="shared" ref="K14:K16" si="11">SUM(G14:I14)+J14</f>
        <v>4200000</v>
      </c>
      <c r="L14" s="5">
        <v>168000</v>
      </c>
      <c r="M14" s="5">
        <v>210000</v>
      </c>
      <c r="N14" s="5"/>
      <c r="O14" s="5"/>
      <c r="P14" s="5">
        <v>32000</v>
      </c>
      <c r="Q14" s="5"/>
      <c r="R14" s="5"/>
      <c r="S14" s="5"/>
      <c r="T14" s="5">
        <f t="shared" ref="T14:T16" si="12">SUM(L14:S14)</f>
        <v>410000</v>
      </c>
      <c r="U14" s="7">
        <f t="shared" si="9"/>
        <v>3790000</v>
      </c>
      <c r="V14" s="7"/>
      <c r="W14" s="44"/>
      <c r="X14" s="7">
        <f t="shared" si="4"/>
        <v>3790000</v>
      </c>
    </row>
    <row r="15" spans="1:24" x14ac:dyDescent="0.25">
      <c r="A15" s="90"/>
      <c r="B15" s="4">
        <v>12</v>
      </c>
      <c r="C15" s="3" t="s">
        <v>39</v>
      </c>
      <c r="D15" s="4" t="s">
        <v>35</v>
      </c>
      <c r="E15" s="5">
        <v>4000000</v>
      </c>
      <c r="F15" s="5">
        <v>30</v>
      </c>
      <c r="G15" s="5">
        <f t="shared" si="10"/>
        <v>4000000.0000000005</v>
      </c>
      <c r="H15" s="5"/>
      <c r="I15" s="5"/>
      <c r="J15" s="5"/>
      <c r="K15" s="5">
        <f t="shared" si="11"/>
        <v>4000000.0000000005</v>
      </c>
      <c r="L15" s="5">
        <v>160000</v>
      </c>
      <c r="M15" s="5">
        <v>200000</v>
      </c>
      <c r="N15" s="5"/>
      <c r="O15" s="5"/>
      <c r="P15" s="5">
        <v>4500</v>
      </c>
      <c r="Q15" s="5"/>
      <c r="R15" s="5"/>
      <c r="S15" s="5"/>
      <c r="T15" s="5">
        <f t="shared" si="12"/>
        <v>364500</v>
      </c>
      <c r="U15" s="7">
        <f t="shared" si="9"/>
        <v>3635500.0000000005</v>
      </c>
      <c r="V15" s="7"/>
      <c r="W15" s="44"/>
      <c r="X15" s="7">
        <f t="shared" si="4"/>
        <v>3635500.0000000005</v>
      </c>
    </row>
    <row r="16" spans="1:24" x14ac:dyDescent="0.25">
      <c r="A16" s="90"/>
      <c r="B16" s="4">
        <v>13</v>
      </c>
      <c r="C16" s="3" t="s">
        <v>40</v>
      </c>
      <c r="D16" s="4" t="s">
        <v>35</v>
      </c>
      <c r="E16" s="5">
        <v>4500000</v>
      </c>
      <c r="F16" s="5">
        <v>30</v>
      </c>
      <c r="G16" s="5">
        <f t="shared" si="10"/>
        <v>4500000</v>
      </c>
      <c r="H16" s="5"/>
      <c r="I16" s="5"/>
      <c r="J16" s="5"/>
      <c r="K16" s="5">
        <f t="shared" si="11"/>
        <v>4500000</v>
      </c>
      <c r="L16" s="5">
        <f>+G16*4%</f>
        <v>180000</v>
      </c>
      <c r="M16" s="5">
        <f>+G16*5%</f>
        <v>225000</v>
      </c>
      <c r="N16" s="5"/>
      <c r="O16" s="5"/>
      <c r="P16" s="5">
        <v>72000</v>
      </c>
      <c r="Q16" s="5"/>
      <c r="R16" s="5"/>
      <c r="S16" s="5"/>
      <c r="T16" s="5">
        <f t="shared" si="12"/>
        <v>477000</v>
      </c>
      <c r="U16" s="7">
        <f t="shared" si="9"/>
        <v>4023000</v>
      </c>
      <c r="V16" s="7"/>
      <c r="W16" s="44"/>
      <c r="X16" s="7">
        <f t="shared" si="4"/>
        <v>4023000</v>
      </c>
    </row>
    <row r="17" spans="1:24" x14ac:dyDescent="0.25">
      <c r="A17" s="90"/>
      <c r="B17" s="4">
        <v>14</v>
      </c>
      <c r="C17" s="11" t="s">
        <v>41</v>
      </c>
      <c r="D17" s="6" t="s">
        <v>27</v>
      </c>
      <c r="E17" s="5">
        <v>5500000</v>
      </c>
      <c r="F17" s="5">
        <v>15</v>
      </c>
      <c r="G17" s="5">
        <f t="shared" si="10"/>
        <v>2750000</v>
      </c>
      <c r="H17" s="5"/>
      <c r="I17" s="5">
        <v>450000</v>
      </c>
      <c r="J17" s="5"/>
      <c r="K17" s="5">
        <f t="shared" si="0"/>
        <v>3200000</v>
      </c>
      <c r="L17" s="5">
        <f>+G17*4%</f>
        <v>110000</v>
      </c>
      <c r="M17" s="5">
        <f>+G17*5%</f>
        <v>137500</v>
      </c>
      <c r="N17" s="5"/>
      <c r="O17" s="5"/>
      <c r="P17" s="17">
        <v>301042</v>
      </c>
      <c r="Q17" s="5">
        <v>400000</v>
      </c>
      <c r="R17" s="5"/>
      <c r="S17" s="5"/>
      <c r="T17" s="5">
        <f t="shared" si="2"/>
        <v>948542</v>
      </c>
      <c r="U17" s="7">
        <f t="shared" si="9"/>
        <v>2251458</v>
      </c>
      <c r="V17" s="7"/>
      <c r="W17" s="44"/>
      <c r="X17" s="7">
        <f t="shared" si="4"/>
        <v>2251458</v>
      </c>
    </row>
    <row r="18" spans="1:24" x14ac:dyDescent="0.25">
      <c r="A18" s="90"/>
      <c r="B18" s="4">
        <v>15</v>
      </c>
      <c r="C18" s="11" t="s">
        <v>42</v>
      </c>
      <c r="D18" s="6" t="s">
        <v>27</v>
      </c>
      <c r="E18" s="5">
        <v>3500000</v>
      </c>
      <c r="F18" s="5">
        <v>30</v>
      </c>
      <c r="G18" s="5">
        <f t="shared" si="10"/>
        <v>3500000</v>
      </c>
      <c r="H18" s="5"/>
      <c r="I18" s="5"/>
      <c r="J18" s="5"/>
      <c r="K18" s="5">
        <f t="shared" ref="K18" si="13">SUM(G18:I18)+J18</f>
        <v>3500000</v>
      </c>
      <c r="L18" s="5">
        <f t="shared" ref="L18" si="14">+G18*4%</f>
        <v>140000</v>
      </c>
      <c r="M18" s="5">
        <f t="shared" ref="M18" si="15">+G18*5%</f>
        <v>175000</v>
      </c>
      <c r="N18" s="5"/>
      <c r="O18" s="5"/>
      <c r="P18" s="17"/>
      <c r="Q18" s="5"/>
      <c r="R18" s="5"/>
      <c r="S18" s="5"/>
      <c r="T18" s="5">
        <f t="shared" ref="T18" si="16">SUM(L18:S18)</f>
        <v>315000</v>
      </c>
      <c r="U18" s="7">
        <f t="shared" si="9"/>
        <v>3185000</v>
      </c>
      <c r="V18" s="7"/>
      <c r="W18" s="44"/>
      <c r="X18" s="7">
        <f t="shared" si="4"/>
        <v>3185000</v>
      </c>
    </row>
    <row r="19" spans="1:24" ht="24" x14ac:dyDescent="0.25">
      <c r="A19" s="90"/>
      <c r="B19" s="4">
        <v>16</v>
      </c>
      <c r="C19" s="11" t="s">
        <v>43</v>
      </c>
      <c r="D19" s="6" t="s">
        <v>27</v>
      </c>
      <c r="E19" s="5">
        <v>5000000</v>
      </c>
      <c r="F19" s="5">
        <v>30</v>
      </c>
      <c r="G19" s="5">
        <f>+E19-J19</f>
        <v>3666667</v>
      </c>
      <c r="H19" s="5"/>
      <c r="I19" s="5">
        <v>990000</v>
      </c>
      <c r="J19" s="5">
        <v>1333333</v>
      </c>
      <c r="K19" s="5">
        <f t="shared" si="0"/>
        <v>5990000</v>
      </c>
      <c r="L19" s="5">
        <v>200000</v>
      </c>
      <c r="M19" s="5">
        <v>250000</v>
      </c>
      <c r="N19" s="5"/>
      <c r="O19" s="5"/>
      <c r="P19" s="17">
        <v>98752</v>
      </c>
      <c r="Q19" s="5"/>
      <c r="R19" s="5"/>
      <c r="S19" s="5"/>
      <c r="T19" s="5">
        <f t="shared" si="2"/>
        <v>548752</v>
      </c>
      <c r="U19" s="7">
        <f>K19-T19</f>
        <v>5441248</v>
      </c>
      <c r="V19" s="7"/>
      <c r="W19" s="44"/>
      <c r="X19" s="7">
        <f t="shared" si="4"/>
        <v>5441248</v>
      </c>
    </row>
    <row r="20" spans="1:24" x14ac:dyDescent="0.25">
      <c r="A20" s="90"/>
      <c r="B20" s="4">
        <v>17</v>
      </c>
      <c r="C20" s="11" t="s">
        <v>44</v>
      </c>
      <c r="D20" s="6" t="s">
        <v>27</v>
      </c>
      <c r="E20" s="5">
        <v>6600000</v>
      </c>
      <c r="F20" s="5">
        <v>30</v>
      </c>
      <c r="G20" s="5">
        <f t="shared" ref="G20:G29" si="17">E20/30*F20</f>
        <v>6600000</v>
      </c>
      <c r="H20" s="5"/>
      <c r="I20" s="5"/>
      <c r="J20" s="5"/>
      <c r="K20" s="5">
        <f t="shared" si="0"/>
        <v>6600000</v>
      </c>
      <c r="L20" s="5">
        <f>+G20*4%</f>
        <v>264000</v>
      </c>
      <c r="M20" s="5">
        <f>+G20*5%</f>
        <v>330000</v>
      </c>
      <c r="N20" s="5"/>
      <c r="O20" s="5"/>
      <c r="P20" s="17">
        <v>288000</v>
      </c>
      <c r="Q20" s="5"/>
      <c r="R20" s="5"/>
      <c r="S20" s="5"/>
      <c r="T20" s="5">
        <f t="shared" si="2"/>
        <v>882000</v>
      </c>
      <c r="U20" s="7">
        <f>K20-T20</f>
        <v>5718000</v>
      </c>
      <c r="V20" s="7"/>
      <c r="W20" s="44"/>
      <c r="X20" s="7">
        <f t="shared" si="4"/>
        <v>5718000</v>
      </c>
    </row>
    <row r="21" spans="1:24" x14ac:dyDescent="0.25">
      <c r="A21" s="90"/>
      <c r="B21" s="4">
        <v>18</v>
      </c>
      <c r="C21" s="11" t="s">
        <v>45</v>
      </c>
      <c r="D21" s="6" t="s">
        <v>27</v>
      </c>
      <c r="E21" s="5">
        <v>6900000</v>
      </c>
      <c r="F21" s="5">
        <v>30</v>
      </c>
      <c r="G21" s="5">
        <f t="shared" si="17"/>
        <v>6900000</v>
      </c>
      <c r="H21" s="5"/>
      <c r="I21" s="5">
        <v>1400000</v>
      </c>
      <c r="J21" s="5"/>
      <c r="K21" s="5">
        <f t="shared" ref="K21" si="18">SUM(G21:I21)+J21</f>
        <v>8300000</v>
      </c>
      <c r="L21" s="5">
        <f t="shared" ref="L21" si="19">+G21*4%</f>
        <v>276000</v>
      </c>
      <c r="M21" s="5">
        <f t="shared" ref="M21" si="20">+G21*5%</f>
        <v>345000</v>
      </c>
      <c r="N21" s="5"/>
      <c r="O21" s="5"/>
      <c r="P21" s="17">
        <v>113000</v>
      </c>
      <c r="Q21" s="5">
        <v>1300000</v>
      </c>
      <c r="R21" s="5"/>
      <c r="S21" s="5"/>
      <c r="T21" s="5">
        <f t="shared" ref="T21:T22" si="21">SUM(L21:S21)</f>
        <v>2034000</v>
      </c>
      <c r="U21" s="7">
        <f>K21-T21</f>
        <v>6266000</v>
      </c>
      <c r="V21" s="7"/>
      <c r="W21" s="44"/>
      <c r="X21" s="7">
        <f t="shared" si="4"/>
        <v>6266000</v>
      </c>
    </row>
    <row r="22" spans="1:24" x14ac:dyDescent="0.25">
      <c r="A22" s="90"/>
      <c r="B22" s="4">
        <v>19</v>
      </c>
      <c r="C22" s="11" t="s">
        <v>46</v>
      </c>
      <c r="D22" s="6" t="s">
        <v>27</v>
      </c>
      <c r="E22" s="5">
        <v>3500000</v>
      </c>
      <c r="F22" s="5">
        <v>30</v>
      </c>
      <c r="G22" s="5">
        <f t="shared" ref="G22" si="22">+E22/30*F22</f>
        <v>3500000</v>
      </c>
      <c r="H22" s="5"/>
      <c r="I22" s="5"/>
      <c r="J22" s="5"/>
      <c r="K22" s="5">
        <f t="shared" ref="K22" si="23">SUM(G22:I22)+J22</f>
        <v>3500000</v>
      </c>
      <c r="L22" s="5">
        <v>140000</v>
      </c>
      <c r="M22" s="5">
        <v>175000</v>
      </c>
      <c r="N22" s="5"/>
      <c r="O22" s="5"/>
      <c r="P22" s="5"/>
      <c r="Q22" s="5"/>
      <c r="R22" s="5"/>
      <c r="S22" s="5"/>
      <c r="T22" s="5">
        <f t="shared" si="21"/>
        <v>315000</v>
      </c>
      <c r="U22" s="7">
        <f t="shared" ref="U22" si="24">+K22-T22</f>
        <v>3185000</v>
      </c>
      <c r="V22" s="7"/>
      <c r="W22" s="44"/>
      <c r="X22" s="7">
        <f t="shared" si="4"/>
        <v>3185000</v>
      </c>
    </row>
    <row r="23" spans="1:24" x14ac:dyDescent="0.25">
      <c r="A23" s="90"/>
      <c r="B23" s="4">
        <v>20</v>
      </c>
      <c r="C23" s="11" t="s">
        <v>47</v>
      </c>
      <c r="D23" s="6" t="s">
        <v>27</v>
      </c>
      <c r="E23" s="5">
        <v>5000000</v>
      </c>
      <c r="F23" s="5">
        <v>30</v>
      </c>
      <c r="G23" s="5">
        <f t="shared" si="17"/>
        <v>5000000</v>
      </c>
      <c r="H23" s="5"/>
      <c r="I23" s="5">
        <v>1621317</v>
      </c>
      <c r="J23" s="5"/>
      <c r="K23" s="5">
        <f t="shared" si="0"/>
        <v>6621317</v>
      </c>
      <c r="L23" s="5">
        <f>+G23*4%</f>
        <v>200000</v>
      </c>
      <c r="M23" s="5">
        <f t="shared" si="6"/>
        <v>250000</v>
      </c>
      <c r="N23" s="5"/>
      <c r="O23" s="5"/>
      <c r="P23" s="17">
        <v>50000</v>
      </c>
      <c r="Q23" s="5">
        <v>800000</v>
      </c>
      <c r="R23" s="5"/>
      <c r="S23" s="5">
        <f>884747</f>
        <v>884747</v>
      </c>
      <c r="T23" s="5">
        <f t="shared" si="2"/>
        <v>2184747</v>
      </c>
      <c r="U23" s="7">
        <f>+K23-T23</f>
        <v>4436570</v>
      </c>
      <c r="V23" s="7"/>
      <c r="W23" s="44"/>
      <c r="X23" s="7">
        <f t="shared" si="4"/>
        <v>4436570</v>
      </c>
    </row>
    <row r="24" spans="1:24" x14ac:dyDescent="0.25">
      <c r="A24" s="90"/>
      <c r="B24" s="4">
        <v>21</v>
      </c>
      <c r="C24" s="11" t="s">
        <v>48</v>
      </c>
      <c r="D24" s="6" t="s">
        <v>27</v>
      </c>
      <c r="E24" s="5">
        <v>4500000</v>
      </c>
      <c r="F24" s="5">
        <v>30</v>
      </c>
      <c r="G24" s="5">
        <f t="shared" si="17"/>
        <v>4500000</v>
      </c>
      <c r="H24" s="5"/>
      <c r="I24" s="5"/>
      <c r="J24" s="5"/>
      <c r="K24" s="5">
        <f t="shared" si="0"/>
        <v>4500000</v>
      </c>
      <c r="L24" s="5">
        <f t="shared" si="1"/>
        <v>180000</v>
      </c>
      <c r="M24" s="5">
        <f t="shared" si="6"/>
        <v>225000</v>
      </c>
      <c r="N24" s="5"/>
      <c r="O24" s="5"/>
      <c r="P24" s="17">
        <v>31000</v>
      </c>
      <c r="Q24" s="5"/>
      <c r="R24" s="5"/>
      <c r="S24" s="5"/>
      <c r="T24" s="5">
        <f t="shared" si="2"/>
        <v>436000</v>
      </c>
      <c r="U24" s="7">
        <f>+K24-T24</f>
        <v>4064000</v>
      </c>
      <c r="V24" s="7"/>
      <c r="W24" s="44"/>
      <c r="X24" s="7">
        <f t="shared" si="4"/>
        <v>4064000</v>
      </c>
    </row>
    <row r="25" spans="1:24" x14ac:dyDescent="0.25">
      <c r="A25" s="90"/>
      <c r="B25" s="4">
        <v>22</v>
      </c>
      <c r="C25" s="11" t="s">
        <v>49</v>
      </c>
      <c r="D25" s="6" t="s">
        <v>27</v>
      </c>
      <c r="E25" s="5">
        <v>5000000</v>
      </c>
      <c r="F25" s="5">
        <v>30</v>
      </c>
      <c r="G25" s="5">
        <f t="shared" si="17"/>
        <v>5000000</v>
      </c>
      <c r="H25" s="5"/>
      <c r="I25" s="5"/>
      <c r="J25" s="5"/>
      <c r="K25" s="5">
        <f t="shared" ref="K25:K26" si="25">SUM(G25:I25)+J25</f>
        <v>5000000</v>
      </c>
      <c r="L25" s="5">
        <f t="shared" si="1"/>
        <v>200000</v>
      </c>
      <c r="M25" s="5">
        <f>+E25*5%</f>
        <v>250000</v>
      </c>
      <c r="N25" s="5"/>
      <c r="O25" s="5"/>
      <c r="P25" s="17">
        <v>140000</v>
      </c>
      <c r="Q25" s="5"/>
      <c r="R25" s="5"/>
      <c r="S25" s="5"/>
      <c r="T25" s="5">
        <f t="shared" ref="T25:T26" si="26">SUM(L25:S25)</f>
        <v>590000</v>
      </c>
      <c r="U25" s="7">
        <f>+K25-T25</f>
        <v>4410000</v>
      </c>
      <c r="V25" s="7"/>
      <c r="W25" s="44"/>
      <c r="X25" s="7">
        <f t="shared" si="4"/>
        <v>4410000</v>
      </c>
    </row>
    <row r="26" spans="1:24" x14ac:dyDescent="0.25">
      <c r="A26" s="90"/>
      <c r="B26" s="4">
        <v>23</v>
      </c>
      <c r="C26" s="11" t="s">
        <v>50</v>
      </c>
      <c r="D26" s="6" t="s">
        <v>27</v>
      </c>
      <c r="E26" s="5">
        <v>4500000</v>
      </c>
      <c r="F26" s="5">
        <v>30</v>
      </c>
      <c r="G26" s="5">
        <f t="shared" si="17"/>
        <v>4500000</v>
      </c>
      <c r="H26" s="5"/>
      <c r="I26" s="5"/>
      <c r="J26" s="5"/>
      <c r="K26" s="5">
        <f t="shared" si="25"/>
        <v>4500000</v>
      </c>
      <c r="L26" s="5">
        <f>+G26*4%</f>
        <v>180000</v>
      </c>
      <c r="M26" s="5">
        <f>+G26*5%</f>
        <v>225000</v>
      </c>
      <c r="N26" s="5"/>
      <c r="O26" s="5"/>
      <c r="P26" s="17">
        <v>72000</v>
      </c>
      <c r="Q26" s="5"/>
      <c r="R26" s="5"/>
      <c r="S26" s="5"/>
      <c r="T26" s="5">
        <f t="shared" si="26"/>
        <v>477000</v>
      </c>
      <c r="U26" s="7">
        <f>+K26-T26</f>
        <v>4023000</v>
      </c>
      <c r="V26" s="7"/>
      <c r="W26" s="44"/>
      <c r="X26" s="7">
        <f t="shared" si="4"/>
        <v>4023000</v>
      </c>
    </row>
    <row r="27" spans="1:24" x14ac:dyDescent="0.25">
      <c r="A27" s="90"/>
      <c r="B27" s="4">
        <v>24</v>
      </c>
      <c r="C27" s="11" t="s">
        <v>51</v>
      </c>
      <c r="D27" s="6" t="s">
        <v>27</v>
      </c>
      <c r="E27" s="5">
        <v>6000000</v>
      </c>
      <c r="F27" s="5">
        <v>30</v>
      </c>
      <c r="G27" s="5">
        <f t="shared" si="17"/>
        <v>6000000</v>
      </c>
      <c r="H27" s="5"/>
      <c r="I27" s="5"/>
      <c r="J27" s="5"/>
      <c r="K27" s="5">
        <f t="shared" si="0"/>
        <v>6000000</v>
      </c>
      <c r="L27" s="5">
        <f>+E27*4%</f>
        <v>240000</v>
      </c>
      <c r="M27" s="5">
        <f>E27*5%</f>
        <v>300000</v>
      </c>
      <c r="N27" s="5"/>
      <c r="O27" s="5"/>
      <c r="P27" s="17">
        <v>79000</v>
      </c>
      <c r="Q27" s="5"/>
      <c r="R27" s="5"/>
      <c r="S27" s="5"/>
      <c r="T27" s="5">
        <f t="shared" si="2"/>
        <v>619000</v>
      </c>
      <c r="U27" s="7">
        <f>K27-T27</f>
        <v>5381000</v>
      </c>
      <c r="V27" s="7"/>
      <c r="W27" s="44"/>
      <c r="X27" s="7">
        <f t="shared" si="4"/>
        <v>5381000</v>
      </c>
    </row>
    <row r="28" spans="1:24" x14ac:dyDescent="0.25">
      <c r="A28" s="90"/>
      <c r="B28" s="4">
        <v>25</v>
      </c>
      <c r="C28" s="11" t="s">
        <v>52</v>
      </c>
      <c r="D28" s="6" t="s">
        <v>27</v>
      </c>
      <c r="E28" s="5">
        <v>4500000</v>
      </c>
      <c r="F28" s="5">
        <v>30</v>
      </c>
      <c r="G28" s="5">
        <f t="shared" si="17"/>
        <v>4500000</v>
      </c>
      <c r="H28" s="5"/>
      <c r="I28" s="5">
        <v>300000</v>
      </c>
      <c r="J28" s="5"/>
      <c r="K28" s="5">
        <f t="shared" si="0"/>
        <v>4800000</v>
      </c>
      <c r="L28" s="5">
        <v>180000</v>
      </c>
      <c r="M28" s="5">
        <v>225000</v>
      </c>
      <c r="N28" s="5"/>
      <c r="O28" s="5"/>
      <c r="P28" s="17">
        <v>99000</v>
      </c>
      <c r="Q28" s="5"/>
      <c r="R28" s="5"/>
      <c r="S28" s="5"/>
      <c r="T28" s="5">
        <f t="shared" si="2"/>
        <v>504000</v>
      </c>
      <c r="U28" s="7">
        <f>K28-T28</f>
        <v>4296000</v>
      </c>
      <c r="V28" s="7"/>
      <c r="W28" s="44"/>
      <c r="X28" s="7">
        <f t="shared" si="4"/>
        <v>4296000</v>
      </c>
    </row>
    <row r="29" spans="1:24" x14ac:dyDescent="0.25">
      <c r="A29" s="90"/>
      <c r="B29" s="4">
        <v>26</v>
      </c>
      <c r="C29" s="11" t="s">
        <v>53</v>
      </c>
      <c r="D29" s="6" t="s">
        <v>27</v>
      </c>
      <c r="E29" s="5">
        <v>3500000</v>
      </c>
      <c r="F29" s="5">
        <v>30</v>
      </c>
      <c r="G29" s="5">
        <f t="shared" si="17"/>
        <v>3500000</v>
      </c>
      <c r="H29" s="5"/>
      <c r="I29" s="5"/>
      <c r="J29" s="5"/>
      <c r="K29" s="5">
        <f>SUM(G29:I29)+J29</f>
        <v>3500000</v>
      </c>
      <c r="L29" s="5">
        <v>140000</v>
      </c>
      <c r="M29" s="5">
        <v>175000</v>
      </c>
      <c r="N29" s="5"/>
      <c r="O29" s="5"/>
      <c r="P29" s="17">
        <v>0</v>
      </c>
      <c r="Q29" s="5"/>
      <c r="R29" s="5"/>
      <c r="S29" s="5"/>
      <c r="T29" s="5">
        <f t="shared" ref="T29" si="27">SUM(L29:S29)</f>
        <v>315000</v>
      </c>
      <c r="U29" s="7">
        <f>K29-T29</f>
        <v>3185000</v>
      </c>
      <c r="V29" s="7"/>
      <c r="W29" s="44"/>
      <c r="X29" s="7">
        <f t="shared" si="4"/>
        <v>3185000</v>
      </c>
    </row>
    <row r="30" spans="1:24" x14ac:dyDescent="0.25">
      <c r="A30" s="90"/>
      <c r="B30" s="4">
        <v>27</v>
      </c>
      <c r="C30" s="11" t="s">
        <v>54</v>
      </c>
      <c r="D30" s="6" t="s">
        <v>27</v>
      </c>
      <c r="E30" s="5">
        <v>4800000</v>
      </c>
      <c r="F30" s="5">
        <v>30</v>
      </c>
      <c r="G30" s="5">
        <f t="shared" ref="G30:G54" si="28">+E30/30*F30</f>
        <v>4800000</v>
      </c>
      <c r="H30" s="5"/>
      <c r="I30" s="5"/>
      <c r="J30" s="5"/>
      <c r="K30" s="5">
        <f t="shared" si="0"/>
        <v>4800000</v>
      </c>
      <c r="L30" s="5">
        <f>+G30*4%</f>
        <v>192000</v>
      </c>
      <c r="M30" s="5">
        <f>+G30*5%</f>
        <v>240000</v>
      </c>
      <c r="N30" s="5"/>
      <c r="O30" s="5"/>
      <c r="P30" s="5">
        <v>49000</v>
      </c>
      <c r="Q30" s="5"/>
      <c r="R30" s="5"/>
      <c r="S30" s="5">
        <v>209579</v>
      </c>
      <c r="T30" s="5">
        <f t="shared" si="2"/>
        <v>690579</v>
      </c>
      <c r="U30" s="7">
        <f>K30-T30</f>
        <v>4109421</v>
      </c>
      <c r="V30" s="7"/>
      <c r="W30" s="44"/>
      <c r="X30" s="7">
        <f t="shared" si="4"/>
        <v>4109421</v>
      </c>
    </row>
    <row r="31" spans="1:24" x14ac:dyDescent="0.25">
      <c r="A31" s="90"/>
      <c r="B31" s="4">
        <v>28</v>
      </c>
      <c r="C31" s="11" t="s">
        <v>55</v>
      </c>
      <c r="D31" s="6" t="s">
        <v>27</v>
      </c>
      <c r="E31" s="5">
        <v>4000000</v>
      </c>
      <c r="F31" s="5">
        <v>30</v>
      </c>
      <c r="G31" s="5">
        <f>E31/30*F31</f>
        <v>4000000.0000000005</v>
      </c>
      <c r="H31" s="5"/>
      <c r="I31" s="5"/>
      <c r="J31" s="5"/>
      <c r="K31" s="5">
        <f t="shared" si="0"/>
        <v>4000000.0000000005</v>
      </c>
      <c r="L31" s="5">
        <v>160000</v>
      </c>
      <c r="M31" s="5">
        <v>200000</v>
      </c>
      <c r="N31" s="5"/>
      <c r="O31" s="5"/>
      <c r="P31" s="17">
        <v>31064</v>
      </c>
      <c r="Q31" s="5"/>
      <c r="R31" s="5"/>
      <c r="S31" s="5"/>
      <c r="T31" s="5">
        <f t="shared" si="2"/>
        <v>391064</v>
      </c>
      <c r="U31" s="7">
        <f>K31-T31</f>
        <v>3608936.0000000005</v>
      </c>
      <c r="V31" s="7"/>
      <c r="W31" s="44"/>
      <c r="X31" s="7">
        <f t="shared" si="4"/>
        <v>3608936.0000000005</v>
      </c>
    </row>
    <row r="32" spans="1:24" x14ac:dyDescent="0.25">
      <c r="A32" s="90"/>
      <c r="B32" s="4">
        <v>29</v>
      </c>
      <c r="C32" s="11" t="s">
        <v>56</v>
      </c>
      <c r="D32" s="6" t="s">
        <v>27</v>
      </c>
      <c r="E32" s="5">
        <v>6000000</v>
      </c>
      <c r="F32" s="5">
        <v>30</v>
      </c>
      <c r="G32" s="5">
        <f t="shared" si="28"/>
        <v>6000000</v>
      </c>
      <c r="H32" s="5"/>
      <c r="I32" s="5"/>
      <c r="J32" s="5">
        <v>1800000</v>
      </c>
      <c r="K32" s="5">
        <f t="shared" si="0"/>
        <v>7800000</v>
      </c>
      <c r="L32" s="5">
        <f>+K32*4%</f>
        <v>312000</v>
      </c>
      <c r="M32" s="5">
        <f>+K32*5%</f>
        <v>390000</v>
      </c>
      <c r="N32" s="5"/>
      <c r="O32" s="5"/>
      <c r="P32" s="5">
        <v>173000</v>
      </c>
      <c r="Q32" s="5"/>
      <c r="R32" s="5">
        <v>122614</v>
      </c>
      <c r="S32" s="5"/>
      <c r="T32" s="5">
        <f t="shared" si="2"/>
        <v>997614</v>
      </c>
      <c r="U32" s="7">
        <f t="shared" ref="U32:U33" si="29">+K32-T32</f>
        <v>6802386</v>
      </c>
      <c r="V32" s="7"/>
      <c r="W32" s="44"/>
      <c r="X32" s="7">
        <f t="shared" si="4"/>
        <v>6802386</v>
      </c>
    </row>
    <row r="33" spans="1:24" x14ac:dyDescent="0.25">
      <c r="A33" s="90"/>
      <c r="B33" s="4">
        <v>30</v>
      </c>
      <c r="C33" s="11" t="s">
        <v>57</v>
      </c>
      <c r="D33" s="6" t="s">
        <v>27</v>
      </c>
      <c r="E33" s="5">
        <v>4500000</v>
      </c>
      <c r="F33" s="5">
        <v>30</v>
      </c>
      <c r="G33" s="5">
        <f t="shared" si="28"/>
        <v>4500000</v>
      </c>
      <c r="H33" s="5"/>
      <c r="I33" s="5">
        <v>500000</v>
      </c>
      <c r="J33" s="5"/>
      <c r="K33" s="5">
        <f t="shared" si="0"/>
        <v>5000000</v>
      </c>
      <c r="L33" s="5">
        <f t="shared" si="1"/>
        <v>180000</v>
      </c>
      <c r="M33" s="5">
        <f t="shared" si="6"/>
        <v>225000</v>
      </c>
      <c r="N33" s="5"/>
      <c r="O33" s="5"/>
      <c r="P33" s="5">
        <v>11000</v>
      </c>
      <c r="Q33" s="5"/>
      <c r="R33" s="5">
        <v>583333</v>
      </c>
      <c r="S33" s="5">
        <v>551399</v>
      </c>
      <c r="T33" s="5">
        <f t="shared" si="2"/>
        <v>1550732</v>
      </c>
      <c r="U33" s="7">
        <f t="shared" si="29"/>
        <v>3449268</v>
      </c>
      <c r="V33" s="7"/>
      <c r="W33" s="44"/>
      <c r="X33" s="7">
        <f t="shared" si="4"/>
        <v>3449268</v>
      </c>
    </row>
    <row r="34" spans="1:24" x14ac:dyDescent="0.25">
      <c r="A34" s="90"/>
      <c r="B34" s="4">
        <v>31</v>
      </c>
      <c r="C34" s="3" t="s">
        <v>58</v>
      </c>
      <c r="D34" s="4" t="s">
        <v>27</v>
      </c>
      <c r="E34" s="5">
        <v>4815000</v>
      </c>
      <c r="F34" s="5">
        <v>30</v>
      </c>
      <c r="G34" s="5">
        <f>+E34-J34</f>
        <v>3310312</v>
      </c>
      <c r="H34" s="5"/>
      <c r="I34" s="5"/>
      <c r="J34" s="5">
        <v>1504688</v>
      </c>
      <c r="K34" s="5">
        <f t="shared" si="0"/>
        <v>4815000</v>
      </c>
      <c r="L34" s="5">
        <f>+E34*4%</f>
        <v>192600</v>
      </c>
      <c r="M34" s="5">
        <f>+E34*5%</f>
        <v>240750</v>
      </c>
      <c r="N34" s="5"/>
      <c r="O34" s="5"/>
      <c r="P34" s="5">
        <v>34627</v>
      </c>
      <c r="Q34" s="5"/>
      <c r="R34" s="5"/>
      <c r="S34" s="5">
        <v>541379</v>
      </c>
      <c r="T34" s="5">
        <f t="shared" si="2"/>
        <v>1009356</v>
      </c>
      <c r="U34" s="7">
        <f>K34-T34</f>
        <v>3805644</v>
      </c>
      <c r="V34" s="7"/>
      <c r="W34" s="44"/>
      <c r="X34" s="7">
        <f t="shared" si="4"/>
        <v>3805644</v>
      </c>
    </row>
    <row r="35" spans="1:24" ht="24" x14ac:dyDescent="0.25">
      <c r="A35" s="90"/>
      <c r="B35" s="4">
        <v>32</v>
      </c>
      <c r="C35" s="11" t="s">
        <v>59</v>
      </c>
      <c r="D35" s="6" t="s">
        <v>27</v>
      </c>
      <c r="E35" s="5">
        <v>6000000</v>
      </c>
      <c r="F35" s="5">
        <v>30</v>
      </c>
      <c r="G35" s="5">
        <f>+E35/30*F35</f>
        <v>6000000</v>
      </c>
      <c r="H35" s="5"/>
      <c r="I35" s="5"/>
      <c r="J35" s="5"/>
      <c r="K35" s="5">
        <f t="shared" ref="K35:K83" si="30">SUM(G35:I35)+J35</f>
        <v>6000000</v>
      </c>
      <c r="L35" s="5">
        <f t="shared" si="1"/>
        <v>240000</v>
      </c>
      <c r="M35" s="5">
        <f>+G35*5%</f>
        <v>300000</v>
      </c>
      <c r="N35" s="5"/>
      <c r="O35" s="5"/>
      <c r="P35" s="5">
        <v>156000</v>
      </c>
      <c r="Q35" s="5"/>
      <c r="R35" s="5"/>
      <c r="S35" s="5"/>
      <c r="T35" s="5">
        <f t="shared" si="2"/>
        <v>696000</v>
      </c>
      <c r="U35" s="7">
        <f>+K35-T35</f>
        <v>5304000</v>
      </c>
      <c r="V35" s="7"/>
      <c r="W35" s="44"/>
      <c r="X35" s="7">
        <f t="shared" si="4"/>
        <v>5304000</v>
      </c>
    </row>
    <row r="36" spans="1:24" x14ac:dyDescent="0.25">
      <c r="A36" s="90"/>
      <c r="B36" s="4">
        <v>33</v>
      </c>
      <c r="C36" s="3" t="s">
        <v>60</v>
      </c>
      <c r="D36" s="4" t="s">
        <v>27</v>
      </c>
      <c r="E36" s="5">
        <v>6900000</v>
      </c>
      <c r="F36" s="5">
        <v>30</v>
      </c>
      <c r="G36" s="5">
        <f t="shared" si="28"/>
        <v>6900000</v>
      </c>
      <c r="H36" s="5"/>
      <c r="I36" s="5">
        <v>1500000</v>
      </c>
      <c r="J36" s="5"/>
      <c r="K36" s="5">
        <f t="shared" si="30"/>
        <v>8400000</v>
      </c>
      <c r="L36" s="5">
        <v>276000</v>
      </c>
      <c r="M36" s="5">
        <v>345000</v>
      </c>
      <c r="N36" s="5"/>
      <c r="O36" s="5"/>
      <c r="P36" s="5">
        <v>345000</v>
      </c>
      <c r="Q36" s="5"/>
      <c r="R36" s="5"/>
      <c r="S36" s="5"/>
      <c r="T36" s="5">
        <f t="shared" si="2"/>
        <v>966000</v>
      </c>
      <c r="U36" s="7">
        <f>K36-T36</f>
        <v>7434000</v>
      </c>
      <c r="V36" s="7"/>
      <c r="W36" s="44"/>
      <c r="X36" s="7">
        <f t="shared" si="4"/>
        <v>7434000</v>
      </c>
    </row>
    <row r="37" spans="1:24" x14ac:dyDescent="0.25">
      <c r="A37" s="90"/>
      <c r="B37" s="4">
        <v>34</v>
      </c>
      <c r="C37" s="3" t="s">
        <v>61</v>
      </c>
      <c r="D37" s="4" t="s">
        <v>27</v>
      </c>
      <c r="E37" s="5">
        <v>5000000</v>
      </c>
      <c r="F37" s="5">
        <v>30</v>
      </c>
      <c r="G37" s="5">
        <f t="shared" si="28"/>
        <v>5000000</v>
      </c>
      <c r="H37" s="5"/>
      <c r="I37" s="5"/>
      <c r="J37" s="5"/>
      <c r="K37" s="5">
        <f t="shared" ref="K37:K38" si="31">SUM(G37:I37)+J37</f>
        <v>5000000</v>
      </c>
      <c r="L37" s="5">
        <v>200000</v>
      </c>
      <c r="M37" s="5"/>
      <c r="N37" s="5"/>
      <c r="O37" s="5"/>
      <c r="P37" s="5">
        <v>175000</v>
      </c>
      <c r="Q37" s="5"/>
      <c r="R37" s="5"/>
      <c r="S37" s="5"/>
      <c r="T37" s="5">
        <f t="shared" ref="T37:T38" si="32">SUM(L37:S37)</f>
        <v>375000</v>
      </c>
      <c r="U37" s="7">
        <f t="shared" ref="U37:U38" si="33">K37-T37</f>
        <v>4625000</v>
      </c>
      <c r="V37" s="7"/>
      <c r="W37" s="44"/>
      <c r="X37" s="7">
        <f t="shared" si="4"/>
        <v>4625000</v>
      </c>
    </row>
    <row r="38" spans="1:24" x14ac:dyDescent="0.25">
      <c r="A38" s="90"/>
      <c r="B38" s="4">
        <v>35</v>
      </c>
      <c r="C38" s="3" t="s">
        <v>62</v>
      </c>
      <c r="D38" s="4" t="s">
        <v>27</v>
      </c>
      <c r="E38" s="5">
        <v>4500000</v>
      </c>
      <c r="F38" s="5">
        <v>30</v>
      </c>
      <c r="G38" s="5">
        <f t="shared" si="28"/>
        <v>4500000</v>
      </c>
      <c r="H38" s="5"/>
      <c r="I38" s="5"/>
      <c r="J38" s="5"/>
      <c r="K38" s="5">
        <f t="shared" si="31"/>
        <v>4500000</v>
      </c>
      <c r="L38" s="5">
        <f>+G38*4%</f>
        <v>180000</v>
      </c>
      <c r="M38" s="5">
        <f>+G38*5%</f>
        <v>225000</v>
      </c>
      <c r="N38" s="5"/>
      <c r="O38" s="5"/>
      <c r="P38" s="5">
        <v>72000</v>
      </c>
      <c r="Q38" s="5"/>
      <c r="R38" s="5"/>
      <c r="S38" s="5"/>
      <c r="T38" s="5">
        <f t="shared" si="32"/>
        <v>477000</v>
      </c>
      <c r="U38" s="7">
        <f t="shared" si="33"/>
        <v>4023000</v>
      </c>
      <c r="V38" s="7"/>
      <c r="W38" s="44"/>
      <c r="X38" s="7">
        <f t="shared" si="4"/>
        <v>4023000</v>
      </c>
    </row>
    <row r="39" spans="1:24" x14ac:dyDescent="0.25">
      <c r="A39" s="90"/>
      <c r="B39" s="4">
        <v>36</v>
      </c>
      <c r="C39" s="11" t="s">
        <v>63</v>
      </c>
      <c r="D39" s="6" t="s">
        <v>27</v>
      </c>
      <c r="E39" s="5">
        <v>5350000</v>
      </c>
      <c r="F39" s="5">
        <v>30</v>
      </c>
      <c r="G39" s="5">
        <f t="shared" si="28"/>
        <v>5350000</v>
      </c>
      <c r="H39" s="5"/>
      <c r="I39" s="5"/>
      <c r="J39" s="5"/>
      <c r="K39" s="5">
        <f t="shared" si="30"/>
        <v>5350000</v>
      </c>
      <c r="L39" s="5">
        <f>+G39*4%</f>
        <v>214000</v>
      </c>
      <c r="M39" s="5">
        <f>+G39*5%</f>
        <v>267500</v>
      </c>
      <c r="N39" s="5"/>
      <c r="O39" s="5"/>
      <c r="P39" s="5">
        <v>121000</v>
      </c>
      <c r="Q39" s="5"/>
      <c r="R39" s="5"/>
      <c r="S39" s="5"/>
      <c r="T39" s="5">
        <f>SUM(L39:S39)</f>
        <v>602500</v>
      </c>
      <c r="U39" s="7">
        <f t="shared" ref="U39:U45" si="34">+K39-T39</f>
        <v>4747500</v>
      </c>
      <c r="V39" s="7"/>
      <c r="W39" s="44"/>
      <c r="X39" s="7">
        <f t="shared" si="4"/>
        <v>4747500</v>
      </c>
    </row>
    <row r="40" spans="1:24" x14ac:dyDescent="0.25">
      <c r="A40" s="90"/>
      <c r="B40" s="4">
        <v>37</v>
      </c>
      <c r="C40" s="11" t="s">
        <v>64</v>
      </c>
      <c r="D40" s="6" t="s">
        <v>27</v>
      </c>
      <c r="E40" s="5">
        <v>4500000</v>
      </c>
      <c r="F40" s="5">
        <v>30</v>
      </c>
      <c r="G40" s="5">
        <f t="shared" si="28"/>
        <v>4500000</v>
      </c>
      <c r="H40" s="5"/>
      <c r="I40" s="5"/>
      <c r="J40" s="5">
        <f>+E40-G40</f>
        <v>0</v>
      </c>
      <c r="K40" s="5">
        <f t="shared" si="30"/>
        <v>4500000</v>
      </c>
      <c r="L40" s="5">
        <f>+E40*4%</f>
        <v>180000</v>
      </c>
      <c r="M40" s="5">
        <f>+E40*5%</f>
        <v>225000</v>
      </c>
      <c r="N40" s="5"/>
      <c r="O40" s="5"/>
      <c r="P40" s="5">
        <v>10000</v>
      </c>
      <c r="Q40" s="5"/>
      <c r="R40" s="5">
        <v>700000</v>
      </c>
      <c r="S40" s="5"/>
      <c r="T40" s="5">
        <f>SUM(L40:S40)</f>
        <v>1115000</v>
      </c>
      <c r="U40" s="7">
        <f t="shared" si="34"/>
        <v>3385000</v>
      </c>
      <c r="V40" s="7"/>
      <c r="W40" s="44"/>
      <c r="X40" s="7">
        <f t="shared" si="4"/>
        <v>3385000</v>
      </c>
    </row>
    <row r="41" spans="1:24" ht="24" x14ac:dyDescent="0.25">
      <c r="A41" s="90"/>
      <c r="B41" s="4">
        <v>38</v>
      </c>
      <c r="C41" s="11" t="s">
        <v>65</v>
      </c>
      <c r="D41" s="6"/>
      <c r="E41" s="5">
        <v>6000000</v>
      </c>
      <c r="F41" s="5">
        <v>30</v>
      </c>
      <c r="G41" s="5">
        <f t="shared" si="28"/>
        <v>6000000</v>
      </c>
      <c r="H41" s="5"/>
      <c r="I41" s="5"/>
      <c r="J41" s="5"/>
      <c r="K41" s="5">
        <f t="shared" ref="K41" si="35">SUM(G41:I41)+J41</f>
        <v>6000000</v>
      </c>
      <c r="L41" s="5">
        <f>+G41*4%</f>
        <v>240000</v>
      </c>
      <c r="M41" s="5">
        <f>+G41*5%</f>
        <v>300000</v>
      </c>
      <c r="N41" s="5"/>
      <c r="O41" s="5"/>
      <c r="P41" s="5">
        <v>203000</v>
      </c>
      <c r="Q41" s="5"/>
      <c r="R41" s="5"/>
      <c r="T41" s="5">
        <f>SUM(L41:S41)</f>
        <v>743000</v>
      </c>
      <c r="U41" s="7">
        <f t="shared" si="34"/>
        <v>5257000</v>
      </c>
      <c r="V41" s="7"/>
      <c r="W41" s="44"/>
      <c r="X41" s="7"/>
    </row>
    <row r="42" spans="1:24" ht="26.25" customHeight="1" x14ac:dyDescent="0.25">
      <c r="A42" s="90"/>
      <c r="B42" s="4">
        <v>39</v>
      </c>
      <c r="C42" s="11" t="s">
        <v>66</v>
      </c>
      <c r="D42" s="6" t="s">
        <v>27</v>
      </c>
      <c r="E42" s="5">
        <v>4250000</v>
      </c>
      <c r="F42" s="5">
        <v>30</v>
      </c>
      <c r="G42" s="5">
        <f t="shared" si="28"/>
        <v>4250000</v>
      </c>
      <c r="H42" s="5"/>
      <c r="I42" s="5"/>
      <c r="J42" s="5"/>
      <c r="K42" s="5">
        <f t="shared" ref="K42" si="36">SUM(G42:I42)+J42</f>
        <v>4250000</v>
      </c>
      <c r="L42" s="5">
        <f>+G42*4%</f>
        <v>170000</v>
      </c>
      <c r="M42" s="5">
        <f>+G42*5%</f>
        <v>212500</v>
      </c>
      <c r="N42" s="5"/>
      <c r="O42" s="5"/>
      <c r="P42" s="5">
        <v>38000</v>
      </c>
      <c r="Q42" s="5"/>
      <c r="R42" s="5"/>
      <c r="S42" s="5"/>
      <c r="T42" s="5">
        <f t="shared" ref="T42" si="37">SUM(L42:S42)</f>
        <v>420500</v>
      </c>
      <c r="U42" s="7">
        <f t="shared" si="34"/>
        <v>3829500</v>
      </c>
      <c r="V42" s="7"/>
      <c r="W42" s="44"/>
      <c r="X42" s="7">
        <f t="shared" ref="X42" si="38">U42+V42-W42</f>
        <v>3829500</v>
      </c>
    </row>
    <row r="43" spans="1:24" ht="26.25" customHeight="1" x14ac:dyDescent="0.25">
      <c r="A43" s="90"/>
      <c r="B43" s="4">
        <v>40</v>
      </c>
      <c r="C43" s="11" t="s">
        <v>67</v>
      </c>
      <c r="D43" s="6"/>
      <c r="E43" s="5">
        <v>4000000</v>
      </c>
      <c r="F43" s="5">
        <v>30</v>
      </c>
      <c r="G43" s="5">
        <f t="shared" si="28"/>
        <v>4000000.0000000005</v>
      </c>
      <c r="H43" s="5"/>
      <c r="I43" s="5"/>
      <c r="J43" s="5"/>
      <c r="K43" s="5">
        <f t="shared" ref="K43" si="39">SUM(G43:I43)+J43</f>
        <v>4000000.0000000005</v>
      </c>
      <c r="L43" s="5">
        <f>+G43*4%</f>
        <v>160000.00000000003</v>
      </c>
      <c r="M43" s="5">
        <f>+G43*5%</f>
        <v>200000.00000000003</v>
      </c>
      <c r="N43" s="5"/>
      <c r="O43" s="5"/>
      <c r="P43" s="5">
        <v>4500</v>
      </c>
      <c r="Q43" s="5"/>
      <c r="R43" s="5"/>
      <c r="S43" s="5"/>
      <c r="T43" s="5">
        <f t="shared" ref="T43" si="40">SUM(L43:S43)</f>
        <v>364500.00000000006</v>
      </c>
      <c r="U43" s="7">
        <f t="shared" si="34"/>
        <v>3635500.0000000005</v>
      </c>
      <c r="V43" s="7"/>
      <c r="W43" s="44"/>
      <c r="X43" s="7"/>
    </row>
    <row r="44" spans="1:24" ht="24" x14ac:dyDescent="0.25">
      <c r="A44" s="90"/>
      <c r="B44" s="4">
        <v>41</v>
      </c>
      <c r="C44" s="11" t="s">
        <v>68</v>
      </c>
      <c r="D44" s="6" t="s">
        <v>27</v>
      </c>
      <c r="E44" s="5">
        <v>3000000</v>
      </c>
      <c r="F44" s="5">
        <v>29</v>
      </c>
      <c r="G44" s="5">
        <f t="shared" si="28"/>
        <v>2900000</v>
      </c>
      <c r="H44" s="5"/>
      <c r="I44" s="5" t="s">
        <v>1</v>
      </c>
      <c r="J44" s="5"/>
      <c r="K44" s="5">
        <f t="shared" si="30"/>
        <v>2900000</v>
      </c>
      <c r="L44" s="5">
        <f>+K44*4%</f>
        <v>116000</v>
      </c>
      <c r="M44" s="5">
        <f>+K44*5%</f>
        <v>145000</v>
      </c>
      <c r="N44" s="5"/>
      <c r="O44" s="5"/>
      <c r="P44" s="5"/>
      <c r="Q44" s="5"/>
      <c r="R44" s="5"/>
      <c r="S44" s="5"/>
      <c r="T44" s="5">
        <f t="shared" si="2"/>
        <v>261000</v>
      </c>
      <c r="U44" s="7">
        <f t="shared" si="34"/>
        <v>2639000</v>
      </c>
      <c r="V44" s="7"/>
      <c r="W44" s="44"/>
      <c r="X44" s="7">
        <f t="shared" si="4"/>
        <v>2639000</v>
      </c>
    </row>
    <row r="45" spans="1:24" x14ac:dyDescent="0.25">
      <c r="A45" s="90"/>
      <c r="B45" s="4">
        <v>42</v>
      </c>
      <c r="C45" s="11" t="s">
        <v>69</v>
      </c>
      <c r="D45" s="6" t="s">
        <v>27</v>
      </c>
      <c r="E45" s="5">
        <v>4500000</v>
      </c>
      <c r="F45" s="5">
        <v>30</v>
      </c>
      <c r="G45" s="5">
        <f t="shared" si="28"/>
        <v>4500000</v>
      </c>
      <c r="H45" s="5"/>
      <c r="I45" s="5">
        <v>800000</v>
      </c>
      <c r="J45" s="5"/>
      <c r="K45" s="5">
        <f t="shared" si="30"/>
        <v>5300000</v>
      </c>
      <c r="L45" s="5">
        <f t="shared" si="1"/>
        <v>180000</v>
      </c>
      <c r="M45" s="5">
        <f>+G45*5%</f>
        <v>225000</v>
      </c>
      <c r="N45" s="5"/>
      <c r="O45" s="5"/>
      <c r="P45" s="5">
        <v>8021</v>
      </c>
      <c r="Q45" s="5"/>
      <c r="R45" s="5"/>
      <c r="S45" s="5"/>
      <c r="T45" s="5">
        <f t="shared" si="2"/>
        <v>413021</v>
      </c>
      <c r="U45" s="7">
        <f t="shared" si="34"/>
        <v>4886979</v>
      </c>
      <c r="V45" s="7"/>
      <c r="W45" s="44"/>
      <c r="X45" s="7">
        <f t="shared" si="4"/>
        <v>4886979</v>
      </c>
    </row>
    <row r="46" spans="1:24" ht="30.75" customHeight="1" x14ac:dyDescent="0.25">
      <c r="A46" s="90"/>
      <c r="B46" s="4">
        <v>43</v>
      </c>
      <c r="C46" s="11" t="s">
        <v>70</v>
      </c>
      <c r="D46" s="6" t="s">
        <v>27</v>
      </c>
      <c r="E46" s="5">
        <v>4815000</v>
      </c>
      <c r="F46" s="5">
        <v>30</v>
      </c>
      <c r="G46" s="5">
        <f>+E46-J46</f>
        <v>2728500</v>
      </c>
      <c r="H46" s="5"/>
      <c r="I46" s="5">
        <v>350000</v>
      </c>
      <c r="J46" s="5">
        <v>2086500</v>
      </c>
      <c r="K46" s="5">
        <f t="shared" si="30"/>
        <v>5165000</v>
      </c>
      <c r="L46" s="5">
        <v>192600</v>
      </c>
      <c r="M46" s="5">
        <v>240750</v>
      </c>
      <c r="N46" s="5"/>
      <c r="O46" s="5"/>
      <c r="P46" s="5">
        <v>89000</v>
      </c>
      <c r="Q46" s="5"/>
      <c r="R46" s="5"/>
      <c r="S46" s="5"/>
      <c r="T46" s="5">
        <f t="shared" si="2"/>
        <v>522350</v>
      </c>
      <c r="U46" s="7">
        <f>K46-T46</f>
        <v>4642650</v>
      </c>
      <c r="V46" s="7"/>
      <c r="W46" s="44"/>
      <c r="X46" s="7">
        <f t="shared" si="4"/>
        <v>4642650</v>
      </c>
    </row>
    <row r="47" spans="1:24" x14ac:dyDescent="0.25">
      <c r="A47" s="90"/>
      <c r="B47" s="4">
        <v>44</v>
      </c>
      <c r="C47" s="11" t="s">
        <v>71</v>
      </c>
      <c r="D47" s="6" t="s">
        <v>27</v>
      </c>
      <c r="E47" s="5">
        <v>6900000</v>
      </c>
      <c r="F47" s="5">
        <v>30</v>
      </c>
      <c r="G47" s="5">
        <f t="shared" si="28"/>
        <v>6900000</v>
      </c>
      <c r="H47" s="5"/>
      <c r="I47" s="5"/>
      <c r="J47" s="5"/>
      <c r="K47" s="5">
        <f t="shared" si="30"/>
        <v>6900000</v>
      </c>
      <c r="L47" s="5">
        <v>276000</v>
      </c>
      <c r="M47" s="5">
        <v>345000</v>
      </c>
      <c r="N47" s="5"/>
      <c r="O47" s="5"/>
      <c r="P47" s="5">
        <v>219000</v>
      </c>
      <c r="Q47" s="5"/>
      <c r="R47" s="5"/>
      <c r="S47" s="5"/>
      <c r="T47" s="5">
        <f t="shared" si="2"/>
        <v>840000</v>
      </c>
      <c r="U47" s="7">
        <f>K47-T47</f>
        <v>6060000</v>
      </c>
      <c r="V47" s="7"/>
      <c r="W47" s="44"/>
      <c r="X47" s="7">
        <f t="shared" si="4"/>
        <v>6060000</v>
      </c>
    </row>
    <row r="48" spans="1:24" x14ac:dyDescent="0.25">
      <c r="A48" s="91"/>
      <c r="B48" s="4">
        <v>45</v>
      </c>
      <c r="C48" s="11" t="s">
        <v>72</v>
      </c>
      <c r="D48" s="6" t="s">
        <v>27</v>
      </c>
      <c r="E48" s="5">
        <v>4500000</v>
      </c>
      <c r="F48" s="5">
        <v>30</v>
      </c>
      <c r="G48" s="5">
        <f t="shared" si="28"/>
        <v>4500000</v>
      </c>
      <c r="H48" s="5"/>
      <c r="I48" s="5"/>
      <c r="J48" s="5"/>
      <c r="K48" s="5">
        <f t="shared" si="30"/>
        <v>4500000</v>
      </c>
      <c r="L48" s="5">
        <f>+G48*4%</f>
        <v>180000</v>
      </c>
      <c r="M48" s="5">
        <f>+G48*5%</f>
        <v>225000</v>
      </c>
      <c r="N48" s="5"/>
      <c r="O48" s="5"/>
      <c r="P48" s="5">
        <v>31000</v>
      </c>
      <c r="Q48" s="5"/>
      <c r="R48" s="5"/>
      <c r="S48" s="5"/>
      <c r="T48" s="5">
        <f t="shared" si="2"/>
        <v>436000</v>
      </c>
      <c r="U48" s="7">
        <f>K48-T48</f>
        <v>4064000</v>
      </c>
      <c r="V48" s="7"/>
      <c r="W48" s="44"/>
      <c r="X48" s="7">
        <f t="shared" si="4"/>
        <v>4064000</v>
      </c>
    </row>
    <row r="49" spans="1:24" x14ac:dyDescent="0.25">
      <c r="A49" s="89" t="s">
        <v>1</v>
      </c>
      <c r="B49" s="4">
        <v>1</v>
      </c>
      <c r="C49" s="11" t="s">
        <v>73</v>
      </c>
      <c r="D49" s="6" t="s">
        <v>27</v>
      </c>
      <c r="E49" s="5">
        <v>3000000</v>
      </c>
      <c r="F49" s="5">
        <v>30</v>
      </c>
      <c r="G49" s="5">
        <f t="shared" si="28"/>
        <v>3000000</v>
      </c>
      <c r="H49" s="5"/>
      <c r="I49" s="5"/>
      <c r="J49" s="5"/>
      <c r="K49" s="5">
        <f t="shared" si="30"/>
        <v>3000000</v>
      </c>
      <c r="L49" s="5">
        <v>120000</v>
      </c>
      <c r="M49" s="5">
        <v>150000</v>
      </c>
      <c r="N49" s="5"/>
      <c r="O49" s="5"/>
      <c r="P49" s="5"/>
      <c r="Q49" s="5"/>
      <c r="R49" s="5"/>
      <c r="S49" s="5"/>
      <c r="T49" s="5">
        <f t="shared" si="2"/>
        <v>270000</v>
      </c>
      <c r="U49" s="7">
        <f>K49-T49</f>
        <v>2730000</v>
      </c>
      <c r="V49" s="7"/>
      <c r="W49" s="44"/>
      <c r="X49" s="7">
        <f t="shared" si="4"/>
        <v>2730000</v>
      </c>
    </row>
    <row r="50" spans="1:24" ht="24" customHeight="1" x14ac:dyDescent="0.25">
      <c r="A50" s="90"/>
      <c r="B50" s="4">
        <v>2</v>
      </c>
      <c r="C50" s="11" t="s">
        <v>74</v>
      </c>
      <c r="D50" s="6" t="s">
        <v>27</v>
      </c>
      <c r="E50" s="5">
        <v>4000000</v>
      </c>
      <c r="F50" s="5">
        <v>30</v>
      </c>
      <c r="G50" s="5">
        <f t="shared" si="28"/>
        <v>4000000.0000000005</v>
      </c>
      <c r="H50" s="5"/>
      <c r="I50" s="5"/>
      <c r="J50" s="5"/>
      <c r="K50" s="5">
        <f t="shared" si="30"/>
        <v>4000000.0000000005</v>
      </c>
      <c r="L50" s="5">
        <f>+G50*4%</f>
        <v>160000.00000000003</v>
      </c>
      <c r="M50" s="5">
        <f>+G50*5%</f>
        <v>200000.00000000003</v>
      </c>
      <c r="N50" s="5"/>
      <c r="O50" s="5"/>
      <c r="P50" s="17">
        <v>3000</v>
      </c>
      <c r="Q50" s="5"/>
      <c r="R50" s="5">
        <v>163485</v>
      </c>
      <c r="S50" s="5"/>
      <c r="T50" s="5">
        <f t="shared" si="2"/>
        <v>526485</v>
      </c>
      <c r="U50" s="7">
        <f>+K50-T50</f>
        <v>3473515.0000000005</v>
      </c>
      <c r="V50" s="7"/>
      <c r="W50" s="44"/>
      <c r="X50" s="7">
        <f t="shared" si="4"/>
        <v>3473515.0000000005</v>
      </c>
    </row>
    <row r="51" spans="1:24" ht="25.5" customHeight="1" x14ac:dyDescent="0.25">
      <c r="A51" s="90"/>
      <c r="B51" s="4">
        <v>3</v>
      </c>
      <c r="C51" s="11" t="s">
        <v>75</v>
      </c>
      <c r="D51" s="6" t="s">
        <v>27</v>
      </c>
      <c r="E51" s="5">
        <v>689455</v>
      </c>
      <c r="F51" s="5">
        <v>30</v>
      </c>
      <c r="G51" s="5">
        <v>737717</v>
      </c>
      <c r="H51" s="5"/>
      <c r="I51" s="5">
        <v>200000</v>
      </c>
      <c r="J51" s="5"/>
      <c r="K51" s="5">
        <f t="shared" si="30"/>
        <v>937717</v>
      </c>
      <c r="L51" s="5"/>
      <c r="M51" s="5"/>
      <c r="N51" s="5"/>
      <c r="O51" s="5"/>
      <c r="P51" s="17"/>
      <c r="Q51" s="5"/>
      <c r="R51" s="5"/>
      <c r="S51" s="5"/>
      <c r="T51" s="5">
        <f t="shared" si="2"/>
        <v>0</v>
      </c>
      <c r="U51" s="7">
        <f>+K51-T51</f>
        <v>937717</v>
      </c>
      <c r="V51" s="7"/>
      <c r="W51" s="44"/>
      <c r="X51" s="7">
        <f t="shared" si="4"/>
        <v>937717</v>
      </c>
    </row>
    <row r="52" spans="1:24" x14ac:dyDescent="0.25">
      <c r="A52" s="90"/>
      <c r="B52" s="4">
        <v>4</v>
      </c>
      <c r="C52" s="3" t="s">
        <v>76</v>
      </c>
      <c r="D52" s="4" t="s">
        <v>27</v>
      </c>
      <c r="E52" s="5">
        <v>1200000</v>
      </c>
      <c r="F52" s="5">
        <v>29</v>
      </c>
      <c r="G52" s="5">
        <f t="shared" si="28"/>
        <v>1160000</v>
      </c>
      <c r="H52" s="5">
        <f t="shared" ref="H52:H56" si="41">+(83140/30)*F52</f>
        <v>80368.666666666672</v>
      </c>
      <c r="I52" s="5"/>
      <c r="J52" s="5"/>
      <c r="K52" s="5">
        <f t="shared" ref="K52" si="42">SUM(G52:I52)+J52</f>
        <v>1240368.6666666667</v>
      </c>
      <c r="L52" s="5">
        <f>+G52*4%</f>
        <v>46400</v>
      </c>
      <c r="M52" s="5">
        <v>46400</v>
      </c>
      <c r="N52" s="5"/>
      <c r="O52" s="5"/>
      <c r="P52" s="5"/>
      <c r="Q52" s="5"/>
      <c r="R52" s="5"/>
      <c r="S52" s="5"/>
      <c r="T52" s="5">
        <f t="shared" si="2"/>
        <v>92800</v>
      </c>
      <c r="U52" s="7">
        <f>K52-T52</f>
        <v>1147568.6666666667</v>
      </c>
      <c r="V52" s="7"/>
      <c r="W52" s="44"/>
      <c r="X52" s="7">
        <f t="shared" si="4"/>
        <v>1147568.6666666667</v>
      </c>
    </row>
    <row r="53" spans="1:24" ht="18" customHeight="1" x14ac:dyDescent="0.25">
      <c r="A53" s="90"/>
      <c r="B53" s="4">
        <v>5</v>
      </c>
      <c r="C53" s="11" t="s">
        <v>77</v>
      </c>
      <c r="D53" s="6" t="s">
        <v>27</v>
      </c>
      <c r="E53" s="5">
        <v>737717</v>
      </c>
      <c r="F53" s="5">
        <v>30</v>
      </c>
      <c r="G53" s="5">
        <f t="shared" si="28"/>
        <v>737717</v>
      </c>
      <c r="H53" s="5">
        <f t="shared" si="41"/>
        <v>83140</v>
      </c>
      <c r="I53" s="5"/>
      <c r="J53" s="5"/>
      <c r="K53" s="5">
        <f t="shared" si="30"/>
        <v>820857</v>
      </c>
      <c r="L53" s="5">
        <f t="shared" ref="L53" si="43">+G53*4%</f>
        <v>29508.68</v>
      </c>
      <c r="M53" s="5">
        <f>+G53*4%</f>
        <v>29508.68</v>
      </c>
      <c r="N53" s="5"/>
      <c r="O53" s="5"/>
      <c r="P53" s="17"/>
      <c r="Q53" s="5"/>
      <c r="R53" s="5"/>
      <c r="S53" s="5"/>
      <c r="T53" s="5">
        <f t="shared" si="2"/>
        <v>59017.36</v>
      </c>
      <c r="U53" s="7">
        <f>+K53-T53</f>
        <v>761839.64</v>
      </c>
      <c r="V53" s="7"/>
      <c r="W53" s="44"/>
      <c r="X53" s="7">
        <f t="shared" si="4"/>
        <v>761839.64</v>
      </c>
    </row>
    <row r="54" spans="1:24" x14ac:dyDescent="0.25">
      <c r="A54" s="90"/>
      <c r="B54" s="4">
        <v>6</v>
      </c>
      <c r="C54" s="3" t="s">
        <v>78</v>
      </c>
      <c r="D54" s="4" t="s">
        <v>27</v>
      </c>
      <c r="E54" s="5">
        <v>1200000</v>
      </c>
      <c r="F54" s="5">
        <v>29</v>
      </c>
      <c r="G54" s="5">
        <f t="shared" si="28"/>
        <v>1160000</v>
      </c>
      <c r="H54" s="5">
        <f t="shared" si="41"/>
        <v>80368.666666666672</v>
      </c>
      <c r="I54" s="5"/>
      <c r="J54" s="5"/>
      <c r="K54" s="5">
        <f t="shared" ref="K54" si="44">SUM(G54:I54)+J54</f>
        <v>1240368.6666666667</v>
      </c>
      <c r="L54" s="5">
        <f>+G54*4%</f>
        <v>46400</v>
      </c>
      <c r="M54" s="5">
        <v>46400</v>
      </c>
      <c r="N54" s="5"/>
      <c r="O54" s="5"/>
      <c r="P54" s="5"/>
      <c r="Q54" s="5"/>
      <c r="R54" s="5"/>
      <c r="S54" s="5"/>
      <c r="T54" s="5">
        <f t="shared" si="2"/>
        <v>92800</v>
      </c>
      <c r="U54" s="7">
        <f>K54-T54</f>
        <v>1147568.6666666667</v>
      </c>
      <c r="V54" s="7"/>
      <c r="W54" s="44"/>
      <c r="X54" s="7">
        <f t="shared" si="4"/>
        <v>1147568.6666666667</v>
      </c>
    </row>
    <row r="55" spans="1:24" x14ac:dyDescent="0.25">
      <c r="A55" s="90"/>
      <c r="B55" s="4">
        <v>7</v>
      </c>
      <c r="C55" s="11" t="s">
        <v>79</v>
      </c>
      <c r="D55" s="6" t="s">
        <v>35</v>
      </c>
      <c r="E55" s="5">
        <v>1100000</v>
      </c>
      <c r="F55" s="5">
        <v>27</v>
      </c>
      <c r="G55" s="5">
        <f>+E55/30*F55</f>
        <v>989999.99999999988</v>
      </c>
      <c r="H55" s="5">
        <f t="shared" si="41"/>
        <v>74826</v>
      </c>
      <c r="I55" s="5"/>
      <c r="J55" s="5"/>
      <c r="K55" s="5">
        <f t="shared" si="30"/>
        <v>1064826</v>
      </c>
      <c r="L55" s="5">
        <v>44000</v>
      </c>
      <c r="M55" s="5">
        <v>44000</v>
      </c>
      <c r="N55" s="5"/>
      <c r="O55" s="5"/>
      <c r="P55" s="17"/>
      <c r="Q55" s="5"/>
      <c r="R55" s="5"/>
      <c r="S55" s="5"/>
      <c r="T55" s="5">
        <f>SUM(L55:S55)</f>
        <v>88000</v>
      </c>
      <c r="U55" s="7">
        <f>+K55-T55</f>
        <v>976826</v>
      </c>
      <c r="V55" s="7"/>
      <c r="W55" s="44"/>
      <c r="X55" s="7">
        <f t="shared" si="4"/>
        <v>976826</v>
      </c>
    </row>
    <row r="56" spans="1:24" x14ac:dyDescent="0.25">
      <c r="A56" s="90"/>
      <c r="B56" s="4">
        <v>8</v>
      </c>
      <c r="C56" s="11" t="s">
        <v>80</v>
      </c>
      <c r="D56" s="6" t="s">
        <v>27</v>
      </c>
      <c r="E56" s="5">
        <v>737717</v>
      </c>
      <c r="F56" s="5">
        <v>18</v>
      </c>
      <c r="G56" s="5">
        <f t="shared" ref="G56:G61" si="45">+E56/30*F56</f>
        <v>442630.19999999995</v>
      </c>
      <c r="H56" s="5">
        <f t="shared" si="41"/>
        <v>49884</v>
      </c>
      <c r="I56" s="5"/>
      <c r="J56" s="5"/>
      <c r="K56" s="5">
        <f t="shared" ref="K56:K57" si="46">SUM(G56:I56)+J56</f>
        <v>492514.19999999995</v>
      </c>
      <c r="L56" s="5">
        <f t="shared" ref="L56:L57" si="47">+G56*4%</f>
        <v>17705.207999999999</v>
      </c>
      <c r="M56" s="5">
        <f t="shared" ref="M56:M57" si="48">+G56*4%</f>
        <v>17705.207999999999</v>
      </c>
      <c r="N56" s="5"/>
      <c r="O56" s="5"/>
      <c r="P56" s="17"/>
      <c r="Q56" s="5"/>
      <c r="R56" s="5"/>
      <c r="S56" s="5"/>
      <c r="T56" s="5">
        <f t="shared" ref="T56:T57" si="49">SUM(L56:S56)</f>
        <v>35410.415999999997</v>
      </c>
      <c r="U56" s="7">
        <f t="shared" ref="U56:U64" si="50">+K56-T56</f>
        <v>457103.78399999999</v>
      </c>
      <c r="V56" s="7"/>
      <c r="W56" s="44"/>
      <c r="X56" s="7">
        <f t="shared" si="4"/>
        <v>457103.78399999999</v>
      </c>
    </row>
    <row r="57" spans="1:24" ht="24" x14ac:dyDescent="0.25">
      <c r="A57" s="90"/>
      <c r="B57" s="4">
        <v>9</v>
      </c>
      <c r="C57" s="11" t="s">
        <v>81</v>
      </c>
      <c r="D57" s="6" t="s">
        <v>27</v>
      </c>
      <c r="E57" s="5">
        <v>1100000</v>
      </c>
      <c r="F57" s="5">
        <v>30</v>
      </c>
      <c r="G57" s="5">
        <f t="shared" si="45"/>
        <v>1100000</v>
      </c>
      <c r="H57" s="5">
        <v>83140</v>
      </c>
      <c r="I57" s="5"/>
      <c r="J57" s="5"/>
      <c r="K57" s="5">
        <f t="shared" si="46"/>
        <v>1183140</v>
      </c>
      <c r="L57" s="5">
        <f t="shared" si="47"/>
        <v>44000</v>
      </c>
      <c r="M57" s="5">
        <f t="shared" si="48"/>
        <v>44000</v>
      </c>
      <c r="N57" s="5"/>
      <c r="O57" s="5"/>
      <c r="P57" s="17"/>
      <c r="Q57" s="5"/>
      <c r="R57" s="5"/>
      <c r="S57" s="5"/>
      <c r="T57" s="5">
        <f t="shared" si="49"/>
        <v>88000</v>
      </c>
      <c r="U57" s="7">
        <f t="shared" si="50"/>
        <v>1095140</v>
      </c>
      <c r="V57" s="7"/>
      <c r="W57" s="44"/>
      <c r="X57" s="7">
        <f t="shared" si="4"/>
        <v>1095140</v>
      </c>
    </row>
    <row r="58" spans="1:24" ht="21.75" customHeight="1" x14ac:dyDescent="0.25">
      <c r="A58" s="90"/>
      <c r="B58" s="4">
        <v>10</v>
      </c>
      <c r="C58" s="11" t="s">
        <v>82</v>
      </c>
      <c r="D58" s="6" t="s">
        <v>27</v>
      </c>
      <c r="E58" s="5">
        <v>1450000</v>
      </c>
      <c r="F58" s="5">
        <v>19</v>
      </c>
      <c r="G58" s="5">
        <f t="shared" si="45"/>
        <v>918333.33333333337</v>
      </c>
      <c r="H58" s="5">
        <f>+(83140/30)*F58</f>
        <v>52655.333333333336</v>
      </c>
      <c r="I58" s="5"/>
      <c r="J58" s="5"/>
      <c r="K58" s="5">
        <f t="shared" si="30"/>
        <v>970988.66666666674</v>
      </c>
      <c r="L58" s="5">
        <f>+G58*4%</f>
        <v>36733.333333333336</v>
      </c>
      <c r="M58" s="5">
        <f>+G58*4%</f>
        <v>36733.333333333336</v>
      </c>
      <c r="N58" s="5"/>
      <c r="O58" s="5"/>
      <c r="P58" s="5">
        <v>0</v>
      </c>
      <c r="Q58" s="5"/>
      <c r="R58" s="5"/>
      <c r="S58" s="5"/>
      <c r="T58" s="5">
        <f t="shared" si="2"/>
        <v>73466.666666666672</v>
      </c>
      <c r="U58" s="7">
        <f t="shared" si="50"/>
        <v>897522.00000000012</v>
      </c>
      <c r="V58" s="7"/>
      <c r="W58" s="44"/>
      <c r="X58" s="7">
        <f t="shared" si="4"/>
        <v>897522.00000000012</v>
      </c>
    </row>
    <row r="59" spans="1:24" x14ac:dyDescent="0.25">
      <c r="A59" s="90"/>
      <c r="B59" s="4">
        <v>11</v>
      </c>
      <c r="C59" s="11" t="s">
        <v>83</v>
      </c>
      <c r="D59" s="6" t="s">
        <v>27</v>
      </c>
      <c r="E59" s="5">
        <v>737717</v>
      </c>
      <c r="F59" s="5">
        <v>30</v>
      </c>
      <c r="G59" s="5">
        <f t="shared" si="45"/>
        <v>737717</v>
      </c>
      <c r="H59" s="5">
        <v>83140</v>
      </c>
      <c r="I59" s="5"/>
      <c r="J59" s="5"/>
      <c r="K59" s="5">
        <f t="shared" ref="K59" si="51">SUM(G59:I59)+J59</f>
        <v>820857</v>
      </c>
      <c r="L59" s="5">
        <f>+G59*4%</f>
        <v>29508.68</v>
      </c>
      <c r="M59" s="5">
        <f t="shared" ref="M59" si="52">+G59*4%</f>
        <v>29508.68</v>
      </c>
      <c r="N59" s="5"/>
      <c r="O59" s="5"/>
      <c r="P59" s="17"/>
      <c r="Q59" s="5"/>
      <c r="R59" s="5"/>
      <c r="S59" s="5"/>
      <c r="T59" s="5">
        <f t="shared" si="2"/>
        <v>59017.36</v>
      </c>
      <c r="U59" s="7">
        <f t="shared" si="50"/>
        <v>761839.64</v>
      </c>
      <c r="V59" s="7"/>
      <c r="W59" s="44"/>
      <c r="X59" s="7">
        <f t="shared" si="4"/>
        <v>761839.64</v>
      </c>
    </row>
    <row r="60" spans="1:24" ht="17.25" customHeight="1" x14ac:dyDescent="0.25">
      <c r="A60" s="90"/>
      <c r="B60" s="4">
        <v>12</v>
      </c>
      <c r="C60" s="11" t="s">
        <v>84</v>
      </c>
      <c r="D60" s="6" t="s">
        <v>27</v>
      </c>
      <c r="E60" s="5">
        <v>3500000</v>
      </c>
      <c r="F60" s="5">
        <v>30</v>
      </c>
      <c r="G60" s="5">
        <f>(E60/30*F60)</f>
        <v>3500000</v>
      </c>
      <c r="H60" s="5"/>
      <c r="I60" s="5"/>
      <c r="J60" s="5"/>
      <c r="K60" s="5">
        <f t="shared" ref="K60" si="53">SUM(G60:I60)+J60</f>
        <v>3500000</v>
      </c>
      <c r="L60" s="5">
        <f t="shared" ref="L60" si="54">+G60*4%</f>
        <v>140000</v>
      </c>
      <c r="M60" s="5">
        <f>+G60*5%</f>
        <v>175000</v>
      </c>
      <c r="N60" s="5"/>
      <c r="O60" s="5"/>
      <c r="P60" s="5">
        <v>0</v>
      </c>
      <c r="Q60" s="5"/>
      <c r="R60" s="5"/>
      <c r="S60" s="5"/>
      <c r="T60" s="5">
        <f t="shared" ref="T60" si="55">SUM(L60:S60)</f>
        <v>315000</v>
      </c>
      <c r="U60" s="7">
        <f t="shared" si="50"/>
        <v>3185000</v>
      </c>
      <c r="V60" s="7"/>
      <c r="W60" s="44"/>
      <c r="X60" s="7">
        <f t="shared" si="4"/>
        <v>3185000</v>
      </c>
    </row>
    <row r="61" spans="1:24" ht="17.25" customHeight="1" x14ac:dyDescent="0.25">
      <c r="A61" s="90"/>
      <c r="B61" s="4">
        <v>13</v>
      </c>
      <c r="C61" s="11" t="s">
        <v>85</v>
      </c>
      <c r="D61" s="6" t="s">
        <v>27</v>
      </c>
      <c r="E61" s="5">
        <v>2500000</v>
      </c>
      <c r="F61" s="5">
        <v>29</v>
      </c>
      <c r="G61" s="5">
        <f t="shared" si="45"/>
        <v>2416666.6666666665</v>
      </c>
      <c r="H61" s="5"/>
      <c r="I61" s="5"/>
      <c r="J61" s="5"/>
      <c r="K61" s="5">
        <f t="shared" si="30"/>
        <v>2416666.6666666665</v>
      </c>
      <c r="L61" s="5">
        <f>+G61*4%</f>
        <v>96666.666666666657</v>
      </c>
      <c r="M61" s="5">
        <f>+G61*4%</f>
        <v>96666.666666666657</v>
      </c>
      <c r="N61" s="5"/>
      <c r="O61" s="5"/>
      <c r="P61" s="5">
        <v>0</v>
      </c>
      <c r="Q61" s="5"/>
      <c r="R61" s="5"/>
      <c r="S61" s="5">
        <v>200210</v>
      </c>
      <c r="T61" s="5">
        <f t="shared" si="2"/>
        <v>393543.33333333331</v>
      </c>
      <c r="U61" s="7">
        <f t="shared" si="50"/>
        <v>2023123.3333333333</v>
      </c>
      <c r="V61" s="7"/>
      <c r="W61" s="44"/>
      <c r="X61" s="7">
        <f t="shared" si="4"/>
        <v>2023123.3333333333</v>
      </c>
    </row>
    <row r="62" spans="1:24" ht="17.25" customHeight="1" x14ac:dyDescent="0.25">
      <c r="A62" s="90"/>
      <c r="B62" s="4">
        <v>14</v>
      </c>
      <c r="C62" s="11" t="s">
        <v>86</v>
      </c>
      <c r="D62" s="6" t="s">
        <v>27</v>
      </c>
      <c r="E62" s="5">
        <v>1200000</v>
      </c>
      <c r="F62" s="5">
        <v>26</v>
      </c>
      <c r="G62" s="5">
        <f>E62/30*F62</f>
        <v>1040000</v>
      </c>
      <c r="H62" s="5">
        <f>+(83140/30)*F62</f>
        <v>72054.666666666672</v>
      </c>
      <c r="I62" s="5"/>
      <c r="J62" s="5">
        <f>+E62-G62</f>
        <v>160000</v>
      </c>
      <c r="K62" s="5">
        <f t="shared" ref="K62" si="56">SUM(G62:I62)+J62</f>
        <v>1272054.6666666667</v>
      </c>
      <c r="L62" s="5">
        <v>48000</v>
      </c>
      <c r="M62" s="5">
        <v>48000</v>
      </c>
      <c r="N62" s="5"/>
      <c r="O62" s="5"/>
      <c r="P62" s="5">
        <v>0</v>
      </c>
      <c r="Q62" s="5"/>
      <c r="R62" s="5"/>
      <c r="S62" s="5"/>
      <c r="T62" s="5">
        <f t="shared" si="2"/>
        <v>96000</v>
      </c>
      <c r="U62" s="7">
        <f t="shared" si="50"/>
        <v>1176054.6666666667</v>
      </c>
      <c r="V62" s="7"/>
      <c r="W62" s="44"/>
      <c r="X62" s="7">
        <f t="shared" si="4"/>
        <v>1176054.6666666667</v>
      </c>
    </row>
    <row r="63" spans="1:24" ht="17.25" customHeight="1" x14ac:dyDescent="0.25">
      <c r="A63" s="90"/>
      <c r="B63" s="4">
        <v>15</v>
      </c>
      <c r="C63" s="11" t="s">
        <v>87</v>
      </c>
      <c r="D63" s="6" t="s">
        <v>27</v>
      </c>
      <c r="E63" s="5">
        <v>737717</v>
      </c>
      <c r="F63" s="5">
        <v>30</v>
      </c>
      <c r="G63" s="5">
        <f>E63/30*F63</f>
        <v>737717</v>
      </c>
      <c r="H63" s="5"/>
      <c r="I63" s="5"/>
      <c r="J63" s="5"/>
      <c r="K63" s="5">
        <f t="shared" ref="K63" si="57">SUM(G63:I63)+J63</f>
        <v>737717</v>
      </c>
      <c r="L63" s="5">
        <f>+G63*4%</f>
        <v>29508.68</v>
      </c>
      <c r="M63" s="5">
        <f t="shared" ref="M63" si="58">+G63*4%</f>
        <v>29508.68</v>
      </c>
      <c r="N63" s="5"/>
      <c r="O63" s="5"/>
      <c r="P63" s="5">
        <v>0</v>
      </c>
      <c r="Q63" s="5"/>
      <c r="R63" s="5"/>
      <c r="S63" s="5"/>
      <c r="T63" s="5">
        <f t="shared" ref="T63" si="59">SUM(L63:S63)</f>
        <v>59017.36</v>
      </c>
      <c r="U63" s="7">
        <f t="shared" si="50"/>
        <v>678699.64</v>
      </c>
      <c r="V63" s="7"/>
      <c r="W63" s="44"/>
      <c r="X63" s="7"/>
    </row>
    <row r="64" spans="1:24" ht="24" x14ac:dyDescent="0.25">
      <c r="A64" s="90"/>
      <c r="B64" s="4">
        <v>16</v>
      </c>
      <c r="C64" s="11" t="s">
        <v>88</v>
      </c>
      <c r="D64" s="6" t="s">
        <v>27</v>
      </c>
      <c r="E64" s="5">
        <v>2000000</v>
      </c>
      <c r="F64" s="5">
        <v>30</v>
      </c>
      <c r="G64" s="5">
        <f>E64/30*F64</f>
        <v>2000000.0000000002</v>
      </c>
      <c r="H64" s="5"/>
      <c r="I64" s="5"/>
      <c r="J64" s="5">
        <f>+E64-G64</f>
        <v>0</v>
      </c>
      <c r="K64" s="5">
        <f t="shared" si="30"/>
        <v>2000000.0000000002</v>
      </c>
      <c r="L64" s="5">
        <f>+G64*4%</f>
        <v>80000.000000000015</v>
      </c>
      <c r="M64" s="5">
        <v>80000</v>
      </c>
      <c r="N64" s="5"/>
      <c r="O64" s="5"/>
      <c r="P64" s="5">
        <v>0</v>
      </c>
      <c r="Q64" s="5"/>
      <c r="R64" s="5"/>
      <c r="S64" s="5"/>
      <c r="T64" s="5">
        <f t="shared" si="2"/>
        <v>160000</v>
      </c>
      <c r="U64" s="7">
        <f t="shared" si="50"/>
        <v>1840000.0000000002</v>
      </c>
      <c r="V64" s="7"/>
      <c r="W64" s="44"/>
      <c r="X64" s="7">
        <f t="shared" si="4"/>
        <v>1840000.0000000002</v>
      </c>
    </row>
    <row r="65" spans="1:27" x14ac:dyDescent="0.25">
      <c r="A65" s="90"/>
      <c r="B65" s="4">
        <v>17</v>
      </c>
      <c r="C65" s="3" t="s">
        <v>89</v>
      </c>
      <c r="D65" s="4" t="s">
        <v>27</v>
      </c>
      <c r="E65" s="5">
        <v>3500000</v>
      </c>
      <c r="F65" s="5">
        <v>30</v>
      </c>
      <c r="G65" s="5">
        <f>+E65/30*F65</f>
        <v>3500000</v>
      </c>
      <c r="H65" s="5"/>
      <c r="I65" s="5"/>
      <c r="J65" s="5"/>
      <c r="K65" s="5">
        <f t="shared" si="30"/>
        <v>3500000</v>
      </c>
      <c r="L65" s="5">
        <v>140000</v>
      </c>
      <c r="M65" s="5">
        <v>175000</v>
      </c>
      <c r="N65" s="5"/>
      <c r="O65" s="5"/>
      <c r="P65" s="5">
        <v>0</v>
      </c>
      <c r="Q65" s="5"/>
      <c r="R65" s="5"/>
      <c r="S65" s="5"/>
      <c r="T65" s="5">
        <f t="shared" si="2"/>
        <v>315000</v>
      </c>
      <c r="U65" s="7">
        <f t="shared" ref="U65:U77" si="60">K65-T65</f>
        <v>3185000</v>
      </c>
      <c r="V65" s="7"/>
      <c r="W65" s="44"/>
      <c r="X65" s="7">
        <f t="shared" si="4"/>
        <v>3185000</v>
      </c>
    </row>
    <row r="66" spans="1:27" x14ac:dyDescent="0.25">
      <c r="A66" s="90"/>
      <c r="B66" s="4">
        <v>18</v>
      </c>
      <c r="C66" s="11" t="s">
        <v>90</v>
      </c>
      <c r="D66" s="6" t="s">
        <v>27</v>
      </c>
      <c r="E66" s="5">
        <v>4000000</v>
      </c>
      <c r="F66" s="5">
        <v>23</v>
      </c>
      <c r="G66" s="5">
        <f>+E66/30*F66</f>
        <v>3066666.666666667</v>
      </c>
      <c r="H66" s="5"/>
      <c r="I66" s="5">
        <v>300000</v>
      </c>
      <c r="J66" s="5">
        <f>+E66-G66</f>
        <v>933333.33333333302</v>
      </c>
      <c r="K66" s="5">
        <f t="shared" si="30"/>
        <v>4300000</v>
      </c>
      <c r="L66" s="5">
        <v>160000</v>
      </c>
      <c r="M66" s="5">
        <v>200000</v>
      </c>
      <c r="N66" s="5"/>
      <c r="O66" s="5"/>
      <c r="P66" s="5">
        <v>3000</v>
      </c>
      <c r="Q66" s="5"/>
      <c r="R66" s="5"/>
      <c r="S66" s="5">
        <v>766228</v>
      </c>
      <c r="T66" s="5">
        <f t="shared" si="2"/>
        <v>1129228</v>
      </c>
      <c r="U66" s="7">
        <f t="shared" si="60"/>
        <v>3170772</v>
      </c>
      <c r="V66" s="7"/>
      <c r="W66" s="44"/>
      <c r="X66" s="7">
        <f t="shared" si="4"/>
        <v>3170772</v>
      </c>
    </row>
    <row r="67" spans="1:27" x14ac:dyDescent="0.25">
      <c r="A67" s="90"/>
      <c r="B67" s="4">
        <v>19</v>
      </c>
      <c r="C67" s="11" t="s">
        <v>91</v>
      </c>
      <c r="D67" s="6" t="s">
        <v>27</v>
      </c>
      <c r="E67" s="5">
        <v>737717</v>
      </c>
      <c r="F67" s="5">
        <v>30</v>
      </c>
      <c r="G67" s="5">
        <f>+E67/30*F67</f>
        <v>737717</v>
      </c>
      <c r="H67" s="5"/>
      <c r="I67" s="5"/>
      <c r="J67" s="5"/>
      <c r="K67" s="5">
        <f t="shared" si="30"/>
        <v>737717</v>
      </c>
      <c r="L67" s="5"/>
      <c r="M67" s="5"/>
      <c r="N67" s="5"/>
      <c r="O67" s="5"/>
      <c r="P67" s="5"/>
      <c r="Q67" s="5"/>
      <c r="R67" s="5"/>
      <c r="S67" s="5"/>
      <c r="T67" s="5">
        <f t="shared" si="2"/>
        <v>0</v>
      </c>
      <c r="U67" s="7">
        <f t="shared" si="60"/>
        <v>737717</v>
      </c>
      <c r="V67" s="7"/>
      <c r="W67" s="44"/>
      <c r="X67" s="7">
        <f t="shared" si="4"/>
        <v>737717</v>
      </c>
    </row>
    <row r="68" spans="1:27" ht="17.25" customHeight="1" x14ac:dyDescent="0.25">
      <c r="A68" s="90"/>
      <c r="B68" s="4">
        <v>20</v>
      </c>
      <c r="C68" s="11" t="s">
        <v>92</v>
      </c>
      <c r="D68" s="6" t="s">
        <v>27</v>
      </c>
      <c r="E68" s="5">
        <v>3500000</v>
      </c>
      <c r="F68" s="5">
        <v>30</v>
      </c>
      <c r="G68" s="5">
        <f>E68/30*F68</f>
        <v>3500000</v>
      </c>
      <c r="H68" s="5"/>
      <c r="I68" s="5"/>
      <c r="J68" s="5">
        <f>+E68-G68</f>
        <v>0</v>
      </c>
      <c r="K68" s="5">
        <f t="shared" si="30"/>
        <v>3500000</v>
      </c>
      <c r="L68" s="5">
        <v>140000</v>
      </c>
      <c r="M68" s="5">
        <v>175000</v>
      </c>
      <c r="N68" s="5"/>
      <c r="O68" s="5"/>
      <c r="P68" s="5">
        <v>0</v>
      </c>
      <c r="Q68" s="5"/>
      <c r="R68" s="5"/>
      <c r="S68" s="5">
        <v>322019</v>
      </c>
      <c r="T68" s="5">
        <f t="shared" ref="T68:T114" si="61">SUM(L68:S68)</f>
        <v>637019</v>
      </c>
      <c r="U68" s="7">
        <f t="shared" si="60"/>
        <v>2862981</v>
      </c>
      <c r="V68" s="7"/>
      <c r="W68" s="44"/>
      <c r="X68" s="7">
        <f t="shared" ref="X68:X114" si="62">U68+V68-W68</f>
        <v>2862981</v>
      </c>
    </row>
    <row r="69" spans="1:27" ht="17.25" customHeight="1" x14ac:dyDescent="0.25">
      <c r="A69" s="90"/>
      <c r="B69" s="4">
        <v>21</v>
      </c>
      <c r="C69" s="11" t="s">
        <v>93</v>
      </c>
      <c r="D69" s="6" t="s">
        <v>27</v>
      </c>
      <c r="E69" s="5">
        <v>737717</v>
      </c>
      <c r="F69" s="5">
        <v>29</v>
      </c>
      <c r="G69" s="5">
        <f>+E69/30*F69</f>
        <v>713126.43333333335</v>
      </c>
      <c r="H69" s="5">
        <f>+(83140/30)*F69</f>
        <v>80368.666666666672</v>
      </c>
      <c r="I69" s="5"/>
      <c r="J69" s="5"/>
      <c r="K69" s="5">
        <f t="shared" ref="K69:K73" si="63">SUM(G69:I69)+J69</f>
        <v>793495.1</v>
      </c>
      <c r="L69" s="5">
        <f>+G69*4%</f>
        <v>28525.057333333334</v>
      </c>
      <c r="M69" s="5">
        <f>+G69*4%</f>
        <v>28525.057333333334</v>
      </c>
      <c r="N69" s="5"/>
      <c r="O69" s="5"/>
      <c r="P69" s="5"/>
      <c r="Q69" s="5"/>
      <c r="R69" s="5"/>
      <c r="S69" s="5"/>
      <c r="T69" s="5">
        <f t="shared" si="61"/>
        <v>57050.114666666668</v>
      </c>
      <c r="U69" s="7">
        <f t="shared" si="60"/>
        <v>736444.98533333326</v>
      </c>
      <c r="V69" s="7"/>
      <c r="W69" s="44"/>
      <c r="X69" s="7">
        <f t="shared" si="62"/>
        <v>736444.98533333326</v>
      </c>
    </row>
    <row r="70" spans="1:27" ht="17.25" customHeight="1" x14ac:dyDescent="0.25">
      <c r="A70" s="90"/>
      <c r="B70" s="4">
        <v>22</v>
      </c>
      <c r="C70" s="11" t="s">
        <v>94</v>
      </c>
      <c r="D70" s="6"/>
      <c r="E70" s="5">
        <v>1030410</v>
      </c>
      <c r="F70" s="5">
        <v>19</v>
      </c>
      <c r="G70" s="5">
        <f>+E70/30*F70</f>
        <v>652593</v>
      </c>
      <c r="H70" s="5">
        <f>+(83140/30)*F70</f>
        <v>52655.333333333336</v>
      </c>
      <c r="I70" s="5"/>
      <c r="J70" s="5"/>
      <c r="K70" s="5">
        <f t="shared" ref="K70" si="64">SUM(G70:I70)+J70</f>
        <v>705248.33333333337</v>
      </c>
      <c r="L70" s="5">
        <f>+G70*4%</f>
        <v>26103.72</v>
      </c>
      <c r="M70" s="5">
        <f>+G70*4%</f>
        <v>26103.72</v>
      </c>
      <c r="N70" s="5"/>
      <c r="O70" s="5"/>
      <c r="P70" s="5"/>
      <c r="Q70" s="5"/>
      <c r="R70" s="5"/>
      <c r="S70" s="5"/>
      <c r="T70" s="5">
        <f t="shared" si="61"/>
        <v>52207.44</v>
      </c>
      <c r="U70" s="7">
        <f t="shared" si="60"/>
        <v>653040.89333333331</v>
      </c>
      <c r="V70" s="7"/>
      <c r="W70" s="44"/>
      <c r="X70" s="7">
        <f t="shared" si="62"/>
        <v>653040.89333333331</v>
      </c>
    </row>
    <row r="71" spans="1:27" x14ac:dyDescent="0.25">
      <c r="A71" s="90"/>
      <c r="B71" s="4">
        <v>23</v>
      </c>
      <c r="C71" s="3" t="s">
        <v>95</v>
      </c>
      <c r="D71" s="4" t="s">
        <v>27</v>
      </c>
      <c r="E71" s="5">
        <v>3250000</v>
      </c>
      <c r="F71" s="5">
        <v>30</v>
      </c>
      <c r="G71" s="5">
        <f t="shared" ref="G71:G72" si="65">+E71/30*F71</f>
        <v>3250000</v>
      </c>
      <c r="H71" s="5"/>
      <c r="I71" s="5"/>
      <c r="J71" s="5"/>
      <c r="K71" s="5">
        <f t="shared" ref="K71:K72" si="66">SUM(G71:I71)+J71</f>
        <v>3250000</v>
      </c>
      <c r="L71" s="5">
        <f>+G71*4%</f>
        <v>130000</v>
      </c>
      <c r="M71" s="5">
        <f>+G71*5%</f>
        <v>162500</v>
      </c>
      <c r="N71" s="5"/>
      <c r="O71" s="5"/>
      <c r="P71" s="5"/>
      <c r="Q71" s="5"/>
      <c r="R71" s="5"/>
      <c r="S71" s="5"/>
      <c r="T71" s="5">
        <f t="shared" ref="T71:T72" si="67">SUM(L71:S71)</f>
        <v>292500</v>
      </c>
      <c r="U71" s="7">
        <f t="shared" ref="U71:U72" si="68">+K71-T71</f>
        <v>2957500</v>
      </c>
      <c r="V71" s="7"/>
      <c r="W71" s="44"/>
      <c r="X71" s="7">
        <f t="shared" si="62"/>
        <v>2957500</v>
      </c>
    </row>
    <row r="72" spans="1:27" x14ac:dyDescent="0.25">
      <c r="A72" s="90"/>
      <c r="B72" s="4">
        <v>24</v>
      </c>
      <c r="C72" s="3" t="s">
        <v>96</v>
      </c>
      <c r="D72" s="4"/>
      <c r="E72" s="5">
        <v>4000000</v>
      </c>
      <c r="F72" s="5">
        <v>19</v>
      </c>
      <c r="G72" s="5">
        <f t="shared" si="65"/>
        <v>2533333.3333333335</v>
      </c>
      <c r="H72" s="5"/>
      <c r="I72" s="5"/>
      <c r="J72" s="5"/>
      <c r="K72" s="5">
        <f t="shared" si="66"/>
        <v>2533333.3333333335</v>
      </c>
      <c r="L72" s="5">
        <f>+G72*4%</f>
        <v>101333.33333333334</v>
      </c>
      <c r="M72" s="5">
        <v>101333</v>
      </c>
      <c r="N72" s="5"/>
      <c r="O72" s="5"/>
      <c r="P72" s="5"/>
      <c r="Q72" s="5"/>
      <c r="R72" s="5"/>
      <c r="S72" s="5"/>
      <c r="T72" s="5">
        <f t="shared" si="67"/>
        <v>202666.33333333334</v>
      </c>
      <c r="U72" s="7">
        <f t="shared" si="68"/>
        <v>2330667</v>
      </c>
      <c r="V72" s="7"/>
      <c r="W72" s="44"/>
      <c r="X72" s="7">
        <f t="shared" si="62"/>
        <v>2330667</v>
      </c>
    </row>
    <row r="73" spans="1:27" ht="17.25" customHeight="1" x14ac:dyDescent="0.25">
      <c r="A73" s="90"/>
      <c r="B73" s="4">
        <v>25</v>
      </c>
      <c r="C73" s="11" t="s">
        <v>97</v>
      </c>
      <c r="D73" s="6" t="s">
        <v>27</v>
      </c>
      <c r="E73" s="5">
        <v>900000</v>
      </c>
      <c r="F73" s="5">
        <v>22</v>
      </c>
      <c r="G73" s="5">
        <f>E73/30*F73</f>
        <v>660000</v>
      </c>
      <c r="H73" s="5">
        <v>160008</v>
      </c>
      <c r="I73" s="5"/>
      <c r="J73" s="5"/>
      <c r="K73" s="5">
        <f t="shared" si="63"/>
        <v>820008</v>
      </c>
      <c r="L73" s="5">
        <v>36000</v>
      </c>
      <c r="M73" s="5">
        <v>36000</v>
      </c>
      <c r="N73" s="5"/>
      <c r="O73" s="5"/>
      <c r="P73" s="5"/>
      <c r="Q73" s="5"/>
      <c r="R73" s="5"/>
      <c r="S73" s="5"/>
      <c r="T73" s="5">
        <f t="shared" si="61"/>
        <v>72000</v>
      </c>
      <c r="U73" s="7">
        <f>K73-T73</f>
        <v>748008</v>
      </c>
      <c r="V73" s="7"/>
      <c r="W73" s="44"/>
      <c r="X73" s="7">
        <f t="shared" si="62"/>
        <v>748008</v>
      </c>
    </row>
    <row r="74" spans="1:27" ht="15.75" customHeight="1" x14ac:dyDescent="0.25">
      <c r="A74" s="90"/>
      <c r="B74" s="4">
        <v>26</v>
      </c>
      <c r="C74" s="11" t="s">
        <v>98</v>
      </c>
      <c r="D74" s="6" t="s">
        <v>27</v>
      </c>
      <c r="E74" s="5">
        <v>2000000</v>
      </c>
      <c r="F74" s="5">
        <v>22</v>
      </c>
      <c r="G74" s="5">
        <f>(E74/30*F74)</f>
        <v>1466666.6666666667</v>
      </c>
      <c r="H74" s="5"/>
      <c r="I74" s="5"/>
      <c r="J74" s="5">
        <f>+E74-G74</f>
        <v>533333.33333333326</v>
      </c>
      <c r="K74" s="5">
        <f t="shared" si="30"/>
        <v>2000000</v>
      </c>
      <c r="L74" s="5">
        <v>80000</v>
      </c>
      <c r="M74" s="5">
        <v>80000</v>
      </c>
      <c r="N74" s="5"/>
      <c r="O74" s="5"/>
      <c r="P74" s="5">
        <v>0</v>
      </c>
      <c r="Q74" s="5"/>
      <c r="R74" s="5"/>
      <c r="S74" s="5">
        <v>254624</v>
      </c>
      <c r="T74" s="5">
        <f t="shared" si="61"/>
        <v>414624</v>
      </c>
      <c r="U74" s="7">
        <f t="shared" si="60"/>
        <v>1585376</v>
      </c>
      <c r="V74" s="7"/>
      <c r="W74" s="44"/>
      <c r="X74" s="7">
        <f t="shared" si="62"/>
        <v>1585376</v>
      </c>
      <c r="AA74" s="45">
        <f>1196000+644000</f>
        <v>1840000</v>
      </c>
    </row>
    <row r="75" spans="1:27" ht="15.75" customHeight="1" x14ac:dyDescent="0.25">
      <c r="A75" s="90"/>
      <c r="B75" s="4">
        <v>27</v>
      </c>
      <c r="C75" s="11" t="s">
        <v>99</v>
      </c>
      <c r="D75" s="6" t="s">
        <v>27</v>
      </c>
      <c r="E75" s="5">
        <v>2000000</v>
      </c>
      <c r="F75" s="5">
        <v>21</v>
      </c>
      <c r="G75" s="5">
        <f>(E75/30*F75)</f>
        <v>1400000</v>
      </c>
      <c r="H75" s="5"/>
      <c r="I75" s="5"/>
      <c r="J75" s="5">
        <v>533333</v>
      </c>
      <c r="K75" s="5">
        <f t="shared" ref="K75:K76" si="69">SUM(G75:I75)+J75</f>
        <v>1933333</v>
      </c>
      <c r="L75" s="5">
        <v>80000</v>
      </c>
      <c r="M75" s="5">
        <v>80000</v>
      </c>
      <c r="N75" s="5"/>
      <c r="O75" s="5"/>
      <c r="P75" s="5">
        <v>0</v>
      </c>
      <c r="Q75" s="5"/>
      <c r="R75" s="5"/>
      <c r="S75" s="5"/>
      <c r="T75" s="5">
        <f t="shared" ref="T75:T76" si="70">SUM(L75:S75)</f>
        <v>160000</v>
      </c>
      <c r="U75" s="7">
        <f t="shared" si="60"/>
        <v>1773333</v>
      </c>
      <c r="V75" s="7"/>
      <c r="W75" s="44"/>
      <c r="X75" s="7">
        <f t="shared" si="62"/>
        <v>1773333</v>
      </c>
    </row>
    <row r="76" spans="1:27" ht="15.75" customHeight="1" x14ac:dyDescent="0.25">
      <c r="A76" s="90"/>
      <c r="B76" s="4">
        <v>28</v>
      </c>
      <c r="C76" s="11" t="s">
        <v>100</v>
      </c>
      <c r="D76" s="6" t="s">
        <v>27</v>
      </c>
      <c r="E76" s="5">
        <v>2500000</v>
      </c>
      <c r="F76" s="5">
        <v>30</v>
      </c>
      <c r="G76" s="5">
        <f>(E76/30*F76)</f>
        <v>2500000</v>
      </c>
      <c r="H76" s="5"/>
      <c r="I76" s="5"/>
      <c r="J76" s="5"/>
      <c r="K76" s="5">
        <f t="shared" si="69"/>
        <v>2500000</v>
      </c>
      <c r="L76" s="5">
        <f t="shared" ref="L76" si="71">+G76*4%</f>
        <v>100000</v>
      </c>
      <c r="M76" s="5">
        <f>+G76*4%</f>
        <v>100000</v>
      </c>
      <c r="N76" s="5"/>
      <c r="O76" s="5"/>
      <c r="P76" s="5"/>
      <c r="Q76" s="5"/>
      <c r="R76" s="5"/>
      <c r="S76" s="5"/>
      <c r="T76" s="5">
        <f t="shared" si="70"/>
        <v>200000</v>
      </c>
      <c r="U76" s="7">
        <f t="shared" si="60"/>
        <v>2300000</v>
      </c>
      <c r="V76" s="7"/>
      <c r="W76" s="44"/>
      <c r="X76" s="7">
        <f t="shared" si="62"/>
        <v>2300000</v>
      </c>
    </row>
    <row r="77" spans="1:27" x14ac:dyDescent="0.25">
      <c r="A77" s="90"/>
      <c r="B77" s="4">
        <v>29</v>
      </c>
      <c r="C77" s="3" t="s">
        <v>101</v>
      </c>
      <c r="D77" s="4" t="s">
        <v>27</v>
      </c>
      <c r="E77" s="5">
        <v>737717</v>
      </c>
      <c r="F77" s="5">
        <v>30</v>
      </c>
      <c r="G77" s="5">
        <f>(E77/30*F77)</f>
        <v>737717</v>
      </c>
      <c r="H77" s="5"/>
      <c r="I77" s="5"/>
      <c r="J77" s="5"/>
      <c r="K77" s="5">
        <f t="shared" si="30"/>
        <v>737717</v>
      </c>
      <c r="L77" s="5"/>
      <c r="M77" s="5"/>
      <c r="N77" s="5"/>
      <c r="O77" s="5"/>
      <c r="P77" s="5"/>
      <c r="Q77" s="5"/>
      <c r="R77" s="5"/>
      <c r="S77" s="5"/>
      <c r="T77" s="5">
        <f t="shared" si="61"/>
        <v>0</v>
      </c>
      <c r="U77" s="7">
        <f t="shared" si="60"/>
        <v>737717</v>
      </c>
      <c r="V77" s="7"/>
      <c r="W77" s="44"/>
      <c r="X77" s="7">
        <f t="shared" si="62"/>
        <v>737717</v>
      </c>
      <c r="AA77" s="45">
        <f>1840000-1196000</f>
        <v>644000</v>
      </c>
    </row>
    <row r="78" spans="1:27" x14ac:dyDescent="0.25">
      <c r="A78" s="90"/>
      <c r="B78" s="4">
        <v>30</v>
      </c>
      <c r="C78" s="3" t="s">
        <v>102</v>
      </c>
      <c r="D78" s="4" t="s">
        <v>27</v>
      </c>
      <c r="E78" s="5">
        <v>1800000</v>
      </c>
      <c r="F78" s="5">
        <v>29</v>
      </c>
      <c r="G78" s="5">
        <f>+E78/30*F78</f>
        <v>1740000</v>
      </c>
      <c r="H78" s="5"/>
      <c r="I78" s="5">
        <v>500000</v>
      </c>
      <c r="J78" s="5">
        <f>+E78-G78</f>
        <v>60000</v>
      </c>
      <c r="K78" s="5">
        <f t="shared" si="30"/>
        <v>2300000</v>
      </c>
      <c r="L78" s="5">
        <f>+E78*4%</f>
        <v>72000</v>
      </c>
      <c r="M78" s="5">
        <f>+E78*4%</f>
        <v>72000</v>
      </c>
      <c r="N78" s="5"/>
      <c r="O78" s="5"/>
      <c r="P78" s="5">
        <v>0</v>
      </c>
      <c r="Q78" s="5"/>
      <c r="R78" s="5"/>
      <c r="S78" s="5"/>
      <c r="T78" s="5">
        <f t="shared" si="61"/>
        <v>144000</v>
      </c>
      <c r="U78" s="7">
        <f>K78-T78</f>
        <v>2156000</v>
      </c>
      <c r="V78" s="7"/>
      <c r="W78" s="44"/>
      <c r="X78" s="7">
        <f>U78+V78-W78</f>
        <v>2156000</v>
      </c>
    </row>
    <row r="79" spans="1:27" ht="20.25" customHeight="1" x14ac:dyDescent="0.25">
      <c r="A79" s="90"/>
      <c r="B79" s="4">
        <v>31</v>
      </c>
      <c r="C79" s="11" t="s">
        <v>103</v>
      </c>
      <c r="D79" s="6" t="s">
        <v>27</v>
      </c>
      <c r="E79" s="5">
        <v>3500000</v>
      </c>
      <c r="F79" s="5">
        <v>30</v>
      </c>
      <c r="G79" s="5">
        <f t="shared" ref="G79" si="72">+E79/30*F79</f>
        <v>3500000</v>
      </c>
      <c r="H79" s="5"/>
      <c r="I79" s="5"/>
      <c r="J79" s="5">
        <f>+E79-G79</f>
        <v>0</v>
      </c>
      <c r="K79" s="5">
        <f t="shared" si="30"/>
        <v>3500000</v>
      </c>
      <c r="L79" s="5">
        <v>140000</v>
      </c>
      <c r="M79" s="5">
        <v>175000</v>
      </c>
      <c r="N79" s="5"/>
      <c r="O79" s="5"/>
      <c r="P79" s="5">
        <v>0</v>
      </c>
      <c r="Q79" s="5"/>
      <c r="R79" s="5"/>
      <c r="S79" s="5">
        <v>996534</v>
      </c>
      <c r="T79" s="5">
        <f t="shared" si="61"/>
        <v>1311534</v>
      </c>
      <c r="U79" s="7">
        <f t="shared" ref="U79:U87" si="73">+K79-T79</f>
        <v>2188466</v>
      </c>
      <c r="V79" s="7"/>
      <c r="W79" s="44"/>
      <c r="X79" s="7">
        <f t="shared" ref="X79" si="74">U79+V79-W79</f>
        <v>2188466</v>
      </c>
    </row>
    <row r="80" spans="1:27" ht="18" customHeight="1" x14ac:dyDescent="0.25">
      <c r="A80" s="90"/>
      <c r="B80" s="4">
        <v>32</v>
      </c>
      <c r="C80" s="11" t="s">
        <v>104</v>
      </c>
      <c r="D80" s="6" t="s">
        <v>27</v>
      </c>
      <c r="E80" s="5">
        <v>2000000</v>
      </c>
      <c r="F80" s="5">
        <v>30</v>
      </c>
      <c r="G80" s="5">
        <f>+E80/30*F80</f>
        <v>2000000.0000000002</v>
      </c>
      <c r="H80" s="5"/>
      <c r="I80" s="5"/>
      <c r="J80" s="5">
        <f>+E80-G80</f>
        <v>0</v>
      </c>
      <c r="K80" s="5">
        <f t="shared" si="30"/>
        <v>2000000.0000000002</v>
      </c>
      <c r="L80" s="5">
        <v>80000</v>
      </c>
      <c r="M80" s="5">
        <v>80000</v>
      </c>
      <c r="N80" s="5"/>
      <c r="O80" s="5"/>
      <c r="P80" s="5">
        <v>0</v>
      </c>
      <c r="Q80" s="5"/>
      <c r="R80" s="5"/>
      <c r="S80" s="5"/>
      <c r="T80" s="5">
        <f t="shared" si="61"/>
        <v>160000</v>
      </c>
      <c r="U80" s="7">
        <f t="shared" si="73"/>
        <v>1840000.0000000002</v>
      </c>
      <c r="V80" s="7"/>
      <c r="W80" s="44"/>
      <c r="X80" s="7">
        <f t="shared" si="62"/>
        <v>1840000.0000000002</v>
      </c>
    </row>
    <row r="81" spans="1:25" x14ac:dyDescent="0.25">
      <c r="A81" s="90"/>
      <c r="B81" s="4">
        <v>33</v>
      </c>
      <c r="C81" s="11" t="s">
        <v>105</v>
      </c>
      <c r="D81" s="6" t="s">
        <v>27</v>
      </c>
      <c r="E81" s="5">
        <v>4000000</v>
      </c>
      <c r="F81" s="5">
        <v>28</v>
      </c>
      <c r="G81" s="5">
        <f t="shared" ref="G81:G90" si="75">+E81/30*F81</f>
        <v>3733333.3333333335</v>
      </c>
      <c r="H81" s="5">
        <f>88893*2</f>
        <v>177786</v>
      </c>
      <c r="I81" s="5"/>
      <c r="J81" s="5"/>
      <c r="K81" s="5">
        <f t="shared" si="30"/>
        <v>3911119.3333333335</v>
      </c>
      <c r="L81" s="5">
        <v>160000</v>
      </c>
      <c r="M81" s="5">
        <v>200000</v>
      </c>
      <c r="N81" s="5"/>
      <c r="O81" s="5"/>
      <c r="P81" s="5">
        <v>3000</v>
      </c>
      <c r="Q81" s="5"/>
      <c r="R81" s="5"/>
      <c r="S81" s="5"/>
      <c r="T81" s="5">
        <f t="shared" si="61"/>
        <v>363000</v>
      </c>
      <c r="U81" s="7">
        <f t="shared" si="73"/>
        <v>3548119.3333333335</v>
      </c>
      <c r="V81" s="7"/>
      <c r="W81" s="44"/>
      <c r="X81" s="7">
        <f t="shared" si="62"/>
        <v>3548119.3333333335</v>
      </c>
      <c r="Y81" s="45" t="s">
        <v>106</v>
      </c>
    </row>
    <row r="82" spans="1:25" x14ac:dyDescent="0.25">
      <c r="A82" s="90"/>
      <c r="B82" s="4">
        <v>34</v>
      </c>
      <c r="C82" s="11" t="s">
        <v>107</v>
      </c>
      <c r="D82" s="6" t="s">
        <v>27</v>
      </c>
      <c r="E82" s="5">
        <v>737717</v>
      </c>
      <c r="F82" s="5">
        <v>29</v>
      </c>
      <c r="G82" s="5">
        <f>+E82/30*F82</f>
        <v>713126.43333333335</v>
      </c>
      <c r="H82" s="5">
        <f>+(83140/30)*F82</f>
        <v>80368.666666666672</v>
      </c>
      <c r="I82" s="5"/>
      <c r="J82" s="5"/>
      <c r="K82" s="5">
        <f t="shared" ref="K82" si="76">SUM(G82:I82)+J82</f>
        <v>793495.1</v>
      </c>
      <c r="L82" s="5">
        <f>+G82*4%</f>
        <v>28525.057333333334</v>
      </c>
      <c r="M82" s="5">
        <f>+G82*4%</f>
        <v>28525.057333333334</v>
      </c>
      <c r="N82" s="5"/>
      <c r="O82" s="5"/>
      <c r="P82" s="5">
        <v>0</v>
      </c>
      <c r="Q82" s="5"/>
      <c r="R82" s="5"/>
      <c r="S82" s="5"/>
      <c r="T82" s="5">
        <f t="shared" si="61"/>
        <v>57050.114666666668</v>
      </c>
      <c r="U82" s="7">
        <f t="shared" si="73"/>
        <v>736444.98533333326</v>
      </c>
      <c r="V82" s="7"/>
      <c r="W82" s="44"/>
      <c r="X82" s="7">
        <f t="shared" si="62"/>
        <v>736444.98533333326</v>
      </c>
      <c r="Y82" s="45" t="s">
        <v>106</v>
      </c>
    </row>
    <row r="83" spans="1:25" x14ac:dyDescent="0.25">
      <c r="A83" s="90"/>
      <c r="B83" s="4">
        <v>35</v>
      </c>
      <c r="C83" s="11" t="s">
        <v>108</v>
      </c>
      <c r="D83" s="6" t="s">
        <v>27</v>
      </c>
      <c r="E83" s="5">
        <v>3000000</v>
      </c>
      <c r="F83" s="5">
        <v>27</v>
      </c>
      <c r="G83" s="5">
        <f t="shared" si="75"/>
        <v>2700000</v>
      </c>
      <c r="H83" s="5"/>
      <c r="I83" s="5"/>
      <c r="J83" s="5"/>
      <c r="K83" s="5">
        <f t="shared" si="30"/>
        <v>2700000</v>
      </c>
      <c r="L83" s="5">
        <f>+E83*4%</f>
        <v>120000</v>
      </c>
      <c r="M83" s="5">
        <f>+E83*5%</f>
        <v>150000</v>
      </c>
      <c r="N83" s="5"/>
      <c r="O83" s="5"/>
      <c r="P83" s="17">
        <v>0</v>
      </c>
      <c r="Q83" s="5"/>
      <c r="R83" s="5"/>
      <c r="S83" s="5">
        <v>586000</v>
      </c>
      <c r="T83" s="5">
        <f t="shared" si="61"/>
        <v>856000</v>
      </c>
      <c r="U83" s="7">
        <f t="shared" si="73"/>
        <v>1844000</v>
      </c>
      <c r="V83" s="7"/>
      <c r="W83" s="44"/>
      <c r="X83" s="7">
        <f t="shared" si="62"/>
        <v>1844000</v>
      </c>
    </row>
    <row r="84" spans="1:25" x14ac:dyDescent="0.25">
      <c r="A84" s="90"/>
      <c r="B84" s="4">
        <v>36</v>
      </c>
      <c r="C84" s="11" t="s">
        <v>109</v>
      </c>
      <c r="D84" s="6"/>
      <c r="E84" s="5">
        <v>4500000</v>
      </c>
      <c r="F84" s="5">
        <v>30</v>
      </c>
      <c r="G84" s="5">
        <f t="shared" si="75"/>
        <v>4500000</v>
      </c>
      <c r="H84" s="5"/>
      <c r="I84" s="5"/>
      <c r="J84" s="5"/>
      <c r="K84" s="5">
        <f t="shared" ref="K84" si="77">SUM(G84:I84)+J84</f>
        <v>4500000</v>
      </c>
      <c r="L84" s="5">
        <f>+G84*4%</f>
        <v>180000</v>
      </c>
      <c r="M84" s="5">
        <f>+G84*5%</f>
        <v>225000</v>
      </c>
      <c r="N84" s="5"/>
      <c r="O84" s="5"/>
      <c r="P84" s="17">
        <v>72000</v>
      </c>
      <c r="Q84" s="5"/>
      <c r="R84" s="5"/>
      <c r="S84" s="5"/>
      <c r="T84" s="5">
        <f t="shared" si="61"/>
        <v>477000</v>
      </c>
      <c r="U84" s="7">
        <f t="shared" si="73"/>
        <v>4023000</v>
      </c>
      <c r="V84" s="7"/>
      <c r="W84" s="44"/>
      <c r="X84" s="7">
        <f t="shared" si="62"/>
        <v>4023000</v>
      </c>
    </row>
    <row r="85" spans="1:25" ht="24" x14ac:dyDescent="0.25">
      <c r="A85" s="90"/>
      <c r="B85" s="4">
        <v>37</v>
      </c>
      <c r="C85" s="11" t="s">
        <v>110</v>
      </c>
      <c r="D85" s="6" t="s">
        <v>27</v>
      </c>
      <c r="E85" s="5">
        <v>737717</v>
      </c>
      <c r="F85" s="5">
        <v>29</v>
      </c>
      <c r="G85" s="5">
        <f>+E85/30*F85</f>
        <v>713126.43333333335</v>
      </c>
      <c r="H85" s="5">
        <f>+(83140/30)*F85</f>
        <v>80368.666666666672</v>
      </c>
      <c r="I85" s="5"/>
      <c r="J85" s="5"/>
      <c r="K85" s="5">
        <f t="shared" ref="K85" si="78">SUM(G85:I85)+J85</f>
        <v>793495.1</v>
      </c>
      <c r="L85" s="5">
        <f>+G85*4%</f>
        <v>28525.057333333334</v>
      </c>
      <c r="M85" s="5">
        <f>+G85*4%</f>
        <v>28525.057333333334</v>
      </c>
      <c r="N85" s="5"/>
      <c r="O85" s="5"/>
      <c r="P85" s="17">
        <v>0</v>
      </c>
      <c r="Q85" s="5"/>
      <c r="R85" s="5"/>
      <c r="S85" s="5"/>
      <c r="T85" s="5">
        <f t="shared" si="61"/>
        <v>57050.114666666668</v>
      </c>
      <c r="U85" s="7">
        <f t="shared" si="73"/>
        <v>736444.98533333326</v>
      </c>
      <c r="V85" s="7"/>
      <c r="W85" s="44"/>
      <c r="X85" s="7">
        <f t="shared" si="62"/>
        <v>736444.98533333326</v>
      </c>
    </row>
    <row r="86" spans="1:25" x14ac:dyDescent="0.25">
      <c r="A86" s="90"/>
      <c r="B86" s="4">
        <v>38</v>
      </c>
      <c r="C86" s="11" t="s">
        <v>111</v>
      </c>
      <c r="D86" s="6" t="s">
        <v>27</v>
      </c>
      <c r="E86" s="5">
        <v>2500000</v>
      </c>
      <c r="F86" s="5">
        <v>30</v>
      </c>
      <c r="G86" s="5">
        <f>+E86/30*F86</f>
        <v>2500000</v>
      </c>
      <c r="H86" s="5"/>
      <c r="I86" s="5"/>
      <c r="J86" s="5"/>
      <c r="K86" s="5">
        <f t="shared" ref="K86:K114" si="79">SUM(G86:I86)+J86</f>
        <v>2500000</v>
      </c>
      <c r="L86" s="5">
        <v>100000</v>
      </c>
      <c r="M86" s="5">
        <v>100000</v>
      </c>
      <c r="N86" s="5"/>
      <c r="O86" s="5"/>
      <c r="P86" s="5">
        <v>0</v>
      </c>
      <c r="Q86" s="5"/>
      <c r="R86" s="5"/>
      <c r="S86" s="5">
        <v>257196</v>
      </c>
      <c r="T86" s="5">
        <f t="shared" si="61"/>
        <v>457196</v>
      </c>
      <c r="U86" s="7">
        <f t="shared" si="73"/>
        <v>2042804</v>
      </c>
      <c r="V86" s="7"/>
      <c r="W86" s="44"/>
      <c r="X86" s="7">
        <f t="shared" si="62"/>
        <v>2042804</v>
      </c>
    </row>
    <row r="87" spans="1:25" x14ac:dyDescent="0.25">
      <c r="A87" s="90"/>
      <c r="B87" s="4">
        <v>39</v>
      </c>
      <c r="C87" s="11" t="s">
        <v>112</v>
      </c>
      <c r="D87" s="6" t="s">
        <v>27</v>
      </c>
      <c r="E87" s="5">
        <v>4500000</v>
      </c>
      <c r="F87" s="5">
        <v>26</v>
      </c>
      <c r="G87" s="5">
        <f>+E87/30*F87</f>
        <v>3900000</v>
      </c>
      <c r="H87" s="5"/>
      <c r="I87" s="5"/>
      <c r="J87" s="5">
        <f>+E87-G87</f>
        <v>600000</v>
      </c>
      <c r="K87" s="5">
        <f t="shared" si="79"/>
        <v>4500000</v>
      </c>
      <c r="L87" s="5">
        <v>180000</v>
      </c>
      <c r="M87" s="5">
        <v>225000</v>
      </c>
      <c r="N87" s="5"/>
      <c r="O87" s="5"/>
      <c r="P87" s="5">
        <v>72000</v>
      </c>
      <c r="Q87" s="5"/>
      <c r="R87" s="5"/>
      <c r="S87" s="5"/>
      <c r="T87" s="5">
        <f t="shared" ref="T87" si="80">SUM(L87:S87)</f>
        <v>477000</v>
      </c>
      <c r="U87" s="7">
        <f t="shared" si="73"/>
        <v>4023000</v>
      </c>
      <c r="V87" s="7"/>
      <c r="W87" s="44"/>
      <c r="X87" s="7">
        <f t="shared" si="62"/>
        <v>4023000</v>
      </c>
    </row>
    <row r="88" spans="1:25" x14ac:dyDescent="0.25">
      <c r="A88" s="90"/>
      <c r="B88" s="4">
        <v>40</v>
      </c>
      <c r="C88" s="11" t="s">
        <v>113</v>
      </c>
      <c r="D88" s="6" t="s">
        <v>27</v>
      </c>
      <c r="E88" s="5">
        <v>4500000</v>
      </c>
      <c r="F88" s="5">
        <v>30</v>
      </c>
      <c r="G88" s="5">
        <f>+E88/30*F88</f>
        <v>4500000</v>
      </c>
      <c r="H88" s="5"/>
      <c r="I88" s="5"/>
      <c r="J88" s="5"/>
      <c r="K88" s="5">
        <f t="shared" si="79"/>
        <v>4500000</v>
      </c>
      <c r="L88" s="5">
        <v>180000</v>
      </c>
      <c r="M88" s="5">
        <v>225000</v>
      </c>
      <c r="N88" s="5"/>
      <c r="O88" s="5"/>
      <c r="P88" s="5">
        <v>73073</v>
      </c>
      <c r="Q88" s="5"/>
      <c r="R88" s="5"/>
      <c r="S88" s="5"/>
      <c r="T88" s="5">
        <f>SUM(L88:S88)</f>
        <v>478073</v>
      </c>
      <c r="U88" s="7">
        <f t="shared" ref="U88:U94" si="81">K88-T88</f>
        <v>4021927</v>
      </c>
      <c r="V88" s="7"/>
      <c r="W88" s="44"/>
      <c r="X88" s="7">
        <f t="shared" si="62"/>
        <v>4021927</v>
      </c>
    </row>
    <row r="89" spans="1:25" x14ac:dyDescent="0.25">
      <c r="A89" s="90"/>
      <c r="B89" s="4">
        <v>41</v>
      </c>
      <c r="C89" s="11" t="s">
        <v>114</v>
      </c>
      <c r="D89" s="6" t="s">
        <v>27</v>
      </c>
      <c r="E89" s="5">
        <v>2500000</v>
      </c>
      <c r="F89" s="5">
        <v>30</v>
      </c>
      <c r="G89" s="5">
        <f t="shared" ref="G89" si="82">+E89/30*F89</f>
        <v>2500000</v>
      </c>
      <c r="H89" s="5"/>
      <c r="I89" s="5">
        <v>500000</v>
      </c>
      <c r="J89" s="5">
        <f>+E89-G89</f>
        <v>0</v>
      </c>
      <c r="K89" s="5">
        <f t="shared" si="79"/>
        <v>3000000</v>
      </c>
      <c r="L89" s="5">
        <v>100000</v>
      </c>
      <c r="M89" s="5">
        <v>100000</v>
      </c>
      <c r="N89" s="5"/>
      <c r="O89" s="5"/>
      <c r="P89" s="5">
        <v>0</v>
      </c>
      <c r="Q89" s="5"/>
      <c r="R89" s="5"/>
      <c r="S89" s="5"/>
      <c r="T89" s="5">
        <f t="shared" si="61"/>
        <v>200000</v>
      </c>
      <c r="U89" s="7">
        <f t="shared" si="81"/>
        <v>2800000</v>
      </c>
      <c r="V89" s="7"/>
      <c r="W89" s="44"/>
      <c r="X89" s="7">
        <f t="shared" si="62"/>
        <v>2800000</v>
      </c>
    </row>
    <row r="90" spans="1:25" ht="24" x14ac:dyDescent="0.25">
      <c r="A90" s="90"/>
      <c r="B90" s="4">
        <v>42</v>
      </c>
      <c r="C90" s="11" t="s">
        <v>115</v>
      </c>
      <c r="D90" s="6" t="s">
        <v>27</v>
      </c>
      <c r="E90" s="5">
        <v>2548000</v>
      </c>
      <c r="F90" s="5">
        <v>30</v>
      </c>
      <c r="G90" s="5">
        <f t="shared" si="75"/>
        <v>2548000</v>
      </c>
      <c r="H90" s="5"/>
      <c r="I90" s="5"/>
      <c r="J90" s="5">
        <f>+E90-G90</f>
        <v>0</v>
      </c>
      <c r="K90" s="5">
        <f t="shared" si="79"/>
        <v>2548000</v>
      </c>
      <c r="L90" s="5">
        <v>101920</v>
      </c>
      <c r="M90" s="5">
        <v>101920</v>
      </c>
      <c r="N90" s="5"/>
      <c r="O90" s="5"/>
      <c r="P90" s="5">
        <v>0</v>
      </c>
      <c r="Q90" s="5"/>
      <c r="R90" s="5"/>
      <c r="S90" s="5">
        <v>359047</v>
      </c>
      <c r="T90" s="5">
        <f t="shared" si="61"/>
        <v>562887</v>
      </c>
      <c r="U90" s="7">
        <f t="shared" si="81"/>
        <v>1985113</v>
      </c>
      <c r="V90" s="7"/>
      <c r="W90" s="44"/>
      <c r="X90" s="7">
        <f t="shared" si="62"/>
        <v>1985113</v>
      </c>
    </row>
    <row r="91" spans="1:25" x14ac:dyDescent="0.25">
      <c r="A91" s="90"/>
      <c r="B91" s="4">
        <v>43</v>
      </c>
      <c r="C91" s="11" t="s">
        <v>116</v>
      </c>
      <c r="D91" s="6" t="s">
        <v>27</v>
      </c>
      <c r="E91" s="5">
        <v>737717</v>
      </c>
      <c r="F91" s="5">
        <v>29</v>
      </c>
      <c r="G91" s="5">
        <f>+E91/30*F91</f>
        <v>713126.43333333335</v>
      </c>
      <c r="H91" s="5">
        <f>+(83140/30)*F91</f>
        <v>80368.666666666672</v>
      </c>
      <c r="I91" s="5"/>
      <c r="J91" s="5"/>
      <c r="K91" s="5">
        <f t="shared" ref="K91" si="83">SUM(G91:I91)+J91</f>
        <v>793495.1</v>
      </c>
      <c r="L91" s="5">
        <f>+G91*4%</f>
        <v>28525.057333333334</v>
      </c>
      <c r="M91" s="5">
        <f>+G91*4%</f>
        <v>28525.057333333334</v>
      </c>
      <c r="N91" s="5"/>
      <c r="O91" s="5"/>
      <c r="P91" s="5"/>
      <c r="Q91" s="5"/>
      <c r="R91" s="5"/>
      <c r="S91" s="5"/>
      <c r="T91" s="5">
        <f t="shared" si="61"/>
        <v>57050.114666666668</v>
      </c>
      <c r="U91" s="7">
        <f t="shared" si="81"/>
        <v>736444.98533333326</v>
      </c>
      <c r="V91" s="7"/>
      <c r="W91" s="44"/>
      <c r="X91" s="7">
        <f t="shared" si="62"/>
        <v>736444.98533333326</v>
      </c>
    </row>
    <row r="92" spans="1:25" x14ac:dyDescent="0.25">
      <c r="A92" s="90"/>
      <c r="B92" s="4">
        <v>44</v>
      </c>
      <c r="C92" s="3" t="s">
        <v>117</v>
      </c>
      <c r="D92" s="4" t="s">
        <v>27</v>
      </c>
      <c r="E92" s="5">
        <v>737717</v>
      </c>
      <c r="F92" s="5">
        <v>30</v>
      </c>
      <c r="G92" s="5">
        <f>+E92/30*F92</f>
        <v>737717</v>
      </c>
      <c r="H92" s="5">
        <v>83139</v>
      </c>
      <c r="I92" s="5"/>
      <c r="J92" s="5">
        <v>71715</v>
      </c>
      <c r="K92" s="5">
        <f t="shared" si="79"/>
        <v>892571</v>
      </c>
      <c r="L92" s="5">
        <f>+G92*4%</f>
        <v>29508.68</v>
      </c>
      <c r="M92" s="5">
        <f>+G92*4%</f>
        <v>29508.68</v>
      </c>
      <c r="N92" s="5"/>
      <c r="O92" s="5"/>
      <c r="P92" s="5">
        <v>0</v>
      </c>
      <c r="Q92" s="5"/>
      <c r="R92" s="5"/>
      <c r="S92" s="5"/>
      <c r="T92" s="5">
        <f t="shared" si="61"/>
        <v>59017.36</v>
      </c>
      <c r="U92" s="7">
        <f t="shared" si="81"/>
        <v>833553.64</v>
      </c>
      <c r="V92" s="7"/>
      <c r="W92" s="44"/>
      <c r="X92" s="7">
        <f t="shared" si="62"/>
        <v>833553.64</v>
      </c>
    </row>
    <row r="93" spans="1:25" x14ac:dyDescent="0.25">
      <c r="A93" s="90"/>
      <c r="B93" s="4">
        <v>45</v>
      </c>
      <c r="C93" s="3" t="s">
        <v>118</v>
      </c>
      <c r="D93" s="4"/>
      <c r="E93" s="5">
        <v>5000000</v>
      </c>
      <c r="F93" s="5">
        <v>15</v>
      </c>
      <c r="G93" s="5">
        <f>+E93/30*F93</f>
        <v>2500000</v>
      </c>
      <c r="H93" s="5"/>
      <c r="I93" s="5"/>
      <c r="J93" s="5"/>
      <c r="K93" s="5">
        <f t="shared" si="79"/>
        <v>2500000</v>
      </c>
      <c r="L93" s="5">
        <f>+G93*4%</f>
        <v>100000</v>
      </c>
      <c r="M93" s="5">
        <f>+G93*4%</f>
        <v>100000</v>
      </c>
      <c r="N93" s="5"/>
      <c r="O93" s="5"/>
      <c r="P93" s="5">
        <v>51000</v>
      </c>
      <c r="Q93" s="5"/>
      <c r="R93" s="5"/>
      <c r="S93" s="5"/>
      <c r="T93" s="5">
        <f t="shared" ref="T93" si="84">SUM(L93:S93)</f>
        <v>251000</v>
      </c>
      <c r="U93" s="7">
        <f t="shared" si="81"/>
        <v>2249000</v>
      </c>
      <c r="V93" s="7"/>
      <c r="W93" s="44"/>
      <c r="X93" s="7">
        <f t="shared" si="62"/>
        <v>2249000</v>
      </c>
    </row>
    <row r="94" spans="1:25" x14ac:dyDescent="0.25">
      <c r="A94" s="90"/>
      <c r="B94" s="4">
        <v>46</v>
      </c>
      <c r="C94" s="3" t="s">
        <v>119</v>
      </c>
      <c r="D94" s="4" t="s">
        <v>27</v>
      </c>
      <c r="E94" s="5">
        <v>1400000</v>
      </c>
      <c r="F94" s="5">
        <v>30</v>
      </c>
      <c r="G94" s="5">
        <f>+E94/30*F94</f>
        <v>1400000</v>
      </c>
      <c r="H94" s="5">
        <f>+(83140/30)*F94</f>
        <v>83140</v>
      </c>
      <c r="I94" s="5"/>
      <c r="J94" s="5"/>
      <c r="K94" s="5">
        <f t="shared" ref="K94" si="85">SUM(G94:I94)+J94</f>
        <v>1483140</v>
      </c>
      <c r="L94" s="5">
        <f>+G94*4%</f>
        <v>56000</v>
      </c>
      <c r="M94" s="5">
        <f>+G94*4%</f>
        <v>56000</v>
      </c>
      <c r="N94" s="5"/>
      <c r="O94" s="5"/>
      <c r="P94" s="5">
        <v>0</v>
      </c>
      <c r="Q94" s="5"/>
      <c r="R94" s="5"/>
      <c r="S94" s="5"/>
      <c r="T94" s="5">
        <f t="shared" ref="T94" si="86">SUM(L94:S94)</f>
        <v>112000</v>
      </c>
      <c r="U94" s="7">
        <f t="shared" si="81"/>
        <v>1371140</v>
      </c>
      <c r="V94" s="7"/>
      <c r="W94" s="44"/>
      <c r="X94" s="7">
        <f t="shared" si="62"/>
        <v>1371140</v>
      </c>
    </row>
    <row r="95" spans="1:25" x14ac:dyDescent="0.25">
      <c r="A95" s="90"/>
      <c r="B95" s="4">
        <v>47</v>
      </c>
      <c r="C95" s="11" t="s">
        <v>120</v>
      </c>
      <c r="D95" s="6" t="s">
        <v>27</v>
      </c>
      <c r="E95" s="5">
        <v>15400000</v>
      </c>
      <c r="F95" s="5">
        <v>30</v>
      </c>
      <c r="G95" s="5">
        <f t="shared" ref="G95:G106" si="87">+E95/30*F95</f>
        <v>15400000</v>
      </c>
      <c r="H95" s="5"/>
      <c r="I95" s="5">
        <v>600000</v>
      </c>
      <c r="J95" s="5"/>
      <c r="K95" s="5">
        <f t="shared" si="79"/>
        <v>16000000</v>
      </c>
      <c r="L95" s="5">
        <v>737717</v>
      </c>
      <c r="M95" s="5">
        <f>737717+368858</f>
        <v>1106575</v>
      </c>
      <c r="N95" s="5">
        <v>102400</v>
      </c>
      <c r="O95" s="5"/>
      <c r="P95" s="5">
        <v>916000</v>
      </c>
      <c r="Q95" s="5">
        <v>5000000</v>
      </c>
      <c r="R95" s="5">
        <v>180180</v>
      </c>
      <c r="S95" s="5">
        <v>2314715</v>
      </c>
      <c r="T95" s="5">
        <f t="shared" si="61"/>
        <v>10357587</v>
      </c>
      <c r="U95" s="7">
        <f>+K95-T95</f>
        <v>5642413</v>
      </c>
      <c r="V95" s="7"/>
      <c r="W95" s="44"/>
      <c r="X95" s="7">
        <f t="shared" si="62"/>
        <v>5642413</v>
      </c>
    </row>
    <row r="96" spans="1:25" x14ac:dyDescent="0.25">
      <c r="A96" s="90"/>
      <c r="B96" s="4">
        <v>48</v>
      </c>
      <c r="C96" s="11" t="s">
        <v>121</v>
      </c>
      <c r="D96" s="6" t="s">
        <v>27</v>
      </c>
      <c r="E96" s="5">
        <v>4500000</v>
      </c>
      <c r="F96" s="5">
        <v>30</v>
      </c>
      <c r="G96" s="5">
        <f t="shared" si="87"/>
        <v>4500000</v>
      </c>
      <c r="H96" s="5"/>
      <c r="I96" s="5"/>
      <c r="J96" s="5"/>
      <c r="K96" s="5">
        <f t="shared" si="79"/>
        <v>4500000</v>
      </c>
      <c r="L96" s="5">
        <f t="shared" ref="L96:L107" si="88">+G96*4%</f>
        <v>180000</v>
      </c>
      <c r="M96" s="5">
        <f>+G96*5%</f>
        <v>225000</v>
      </c>
      <c r="N96" s="5"/>
      <c r="O96" s="5"/>
      <c r="P96" s="5">
        <v>90000</v>
      </c>
      <c r="Q96" s="5"/>
      <c r="R96" s="5"/>
      <c r="S96" s="5"/>
      <c r="T96" s="5">
        <f t="shared" si="61"/>
        <v>495000</v>
      </c>
      <c r="U96" s="7">
        <f>+K96-T96</f>
        <v>4005000</v>
      </c>
      <c r="V96" s="7"/>
      <c r="W96" s="44"/>
      <c r="X96" s="7">
        <f t="shared" si="62"/>
        <v>4005000</v>
      </c>
    </row>
    <row r="97" spans="1:24" x14ac:dyDescent="0.25">
      <c r="A97" s="90"/>
      <c r="B97" s="4">
        <v>49</v>
      </c>
      <c r="C97" s="11" t="s">
        <v>122</v>
      </c>
      <c r="D97" s="6" t="s">
        <v>27</v>
      </c>
      <c r="E97" s="5">
        <v>1650000</v>
      </c>
      <c r="F97" s="5">
        <v>30</v>
      </c>
      <c r="G97" s="5">
        <f t="shared" si="87"/>
        <v>1650000</v>
      </c>
      <c r="H97" s="5"/>
      <c r="I97" s="5"/>
      <c r="J97" s="5">
        <f>+E97-G97</f>
        <v>0</v>
      </c>
      <c r="K97" s="5">
        <f t="shared" si="79"/>
        <v>1650000</v>
      </c>
      <c r="L97" s="5">
        <v>66000</v>
      </c>
      <c r="M97" s="5">
        <v>66000</v>
      </c>
      <c r="N97" s="5"/>
      <c r="O97" s="5"/>
      <c r="P97" s="5">
        <v>0</v>
      </c>
      <c r="Q97" s="5"/>
      <c r="R97" s="5"/>
      <c r="S97" s="5"/>
      <c r="T97" s="5">
        <f t="shared" si="61"/>
        <v>132000</v>
      </c>
      <c r="U97" s="7">
        <f>+K97-T97</f>
        <v>1518000</v>
      </c>
      <c r="V97" s="7"/>
      <c r="W97" s="44"/>
      <c r="X97" s="7">
        <f t="shared" si="62"/>
        <v>1518000</v>
      </c>
    </row>
    <row r="98" spans="1:24" x14ac:dyDescent="0.25">
      <c r="A98" s="90"/>
      <c r="B98" s="4">
        <v>50</v>
      </c>
      <c r="C98" s="3" t="s">
        <v>123</v>
      </c>
      <c r="D98" s="4" t="s">
        <v>27</v>
      </c>
      <c r="E98" s="5">
        <v>2000000</v>
      </c>
      <c r="F98" s="5">
        <v>30</v>
      </c>
      <c r="G98" s="5">
        <f t="shared" si="87"/>
        <v>2000000.0000000002</v>
      </c>
      <c r="H98" s="5"/>
      <c r="I98" s="5">
        <v>160000</v>
      </c>
      <c r="J98" s="5"/>
      <c r="K98" s="5">
        <f t="shared" si="79"/>
        <v>2160000</v>
      </c>
      <c r="L98" s="5">
        <f>+E98*4%</f>
        <v>80000</v>
      </c>
      <c r="M98" s="5">
        <v>80000</v>
      </c>
      <c r="N98" s="5"/>
      <c r="O98" s="5"/>
      <c r="P98" s="5">
        <v>0</v>
      </c>
      <c r="Q98" s="5"/>
      <c r="R98" s="5"/>
      <c r="S98" s="5"/>
      <c r="T98" s="5">
        <f t="shared" si="61"/>
        <v>160000</v>
      </c>
      <c r="U98" s="7">
        <f>K98-T98</f>
        <v>2000000</v>
      </c>
      <c r="V98" s="7"/>
      <c r="W98" s="44"/>
      <c r="X98" s="7">
        <f t="shared" si="62"/>
        <v>2000000</v>
      </c>
    </row>
    <row r="99" spans="1:24" x14ac:dyDescent="0.25">
      <c r="A99" s="90"/>
      <c r="B99" s="4">
        <v>51</v>
      </c>
      <c r="C99" s="3" t="s">
        <v>124</v>
      </c>
      <c r="D99" s="4" t="s">
        <v>27</v>
      </c>
      <c r="E99" s="5">
        <v>1600000</v>
      </c>
      <c r="F99" s="5">
        <v>30</v>
      </c>
      <c r="G99" s="5">
        <f t="shared" si="87"/>
        <v>1600000</v>
      </c>
      <c r="H99" s="5"/>
      <c r="I99" s="5"/>
      <c r="J99" s="5">
        <v>200000</v>
      </c>
      <c r="K99" s="5">
        <f t="shared" si="79"/>
        <v>1800000</v>
      </c>
      <c r="L99" s="5">
        <f>+G99*4%</f>
        <v>64000</v>
      </c>
      <c r="M99" s="5">
        <f>+G99*4%</f>
        <v>64000</v>
      </c>
      <c r="N99" s="5"/>
      <c r="O99" s="5"/>
      <c r="P99" s="5"/>
      <c r="Q99" s="5"/>
      <c r="R99" s="5"/>
      <c r="S99" s="5"/>
      <c r="T99" s="5">
        <f>SUM(L99:S99)</f>
        <v>128000</v>
      </c>
      <c r="U99" s="7">
        <f>K99-T99</f>
        <v>1672000</v>
      </c>
      <c r="V99" s="7"/>
      <c r="W99" s="44"/>
      <c r="X99" s="7">
        <f t="shared" si="62"/>
        <v>1672000</v>
      </c>
    </row>
    <row r="100" spans="1:24" x14ac:dyDescent="0.25">
      <c r="A100" s="90"/>
      <c r="B100" s="4">
        <v>52</v>
      </c>
      <c r="C100" s="3" t="s">
        <v>125</v>
      </c>
      <c r="D100" s="4"/>
      <c r="E100" s="5">
        <v>800000</v>
      </c>
      <c r="F100" s="5">
        <v>15</v>
      </c>
      <c r="G100" s="5">
        <f t="shared" si="87"/>
        <v>400000</v>
      </c>
      <c r="H100" s="5"/>
      <c r="I100" s="5"/>
      <c r="J100" s="5"/>
      <c r="K100" s="5">
        <f t="shared" ref="K100:K101" si="89">SUM(G100:I100)+J100</f>
        <v>400000</v>
      </c>
      <c r="L100" s="5">
        <f>+G100*4%</f>
        <v>16000</v>
      </c>
      <c r="M100" s="5">
        <f>+G100*4%</f>
        <v>16000</v>
      </c>
      <c r="N100" s="5"/>
      <c r="O100" s="5"/>
      <c r="P100" s="5"/>
      <c r="Q100" s="5"/>
      <c r="R100" s="5"/>
      <c r="S100" s="5"/>
      <c r="T100" s="5">
        <f>SUM(L100:S100)</f>
        <v>32000</v>
      </c>
      <c r="U100" s="7">
        <f>K100-T100</f>
        <v>368000</v>
      </c>
      <c r="V100" s="7"/>
      <c r="W100" s="44"/>
      <c r="X100" s="7">
        <f t="shared" si="62"/>
        <v>368000</v>
      </c>
    </row>
    <row r="101" spans="1:24" x14ac:dyDescent="0.25">
      <c r="A101" s="90"/>
      <c r="B101" s="4">
        <v>53</v>
      </c>
      <c r="C101" s="3" t="s">
        <v>126</v>
      </c>
      <c r="D101" s="4"/>
      <c r="E101" s="5">
        <v>4500000</v>
      </c>
      <c r="F101" s="5">
        <v>15</v>
      </c>
      <c r="G101" s="5">
        <f t="shared" si="87"/>
        <v>2250000</v>
      </c>
      <c r="H101" s="5"/>
      <c r="I101" s="5"/>
      <c r="J101" s="5"/>
      <c r="K101" s="5">
        <f t="shared" si="89"/>
        <v>2250000</v>
      </c>
      <c r="L101" s="5">
        <f>+G101*4%</f>
        <v>90000</v>
      </c>
      <c r="M101" s="5">
        <f>+G101*4%</f>
        <v>90000</v>
      </c>
      <c r="N101" s="5"/>
      <c r="O101" s="5"/>
      <c r="P101" s="5">
        <v>17000</v>
      </c>
      <c r="Q101" s="5"/>
      <c r="R101" s="5"/>
      <c r="S101" s="5"/>
      <c r="T101" s="5">
        <f>SUM(L101:S101)</f>
        <v>197000</v>
      </c>
      <c r="U101" s="7">
        <f>K101-T101</f>
        <v>2053000</v>
      </c>
      <c r="V101" s="7"/>
      <c r="W101" s="44"/>
      <c r="X101" s="7">
        <f t="shared" si="62"/>
        <v>2053000</v>
      </c>
    </row>
    <row r="102" spans="1:24" x14ac:dyDescent="0.25">
      <c r="A102" s="90"/>
      <c r="B102" s="4">
        <v>54</v>
      </c>
      <c r="C102" s="3" t="s">
        <v>127</v>
      </c>
      <c r="D102" s="4" t="s">
        <v>27</v>
      </c>
      <c r="E102" s="5">
        <v>1200000</v>
      </c>
      <c r="F102" s="5">
        <v>30</v>
      </c>
      <c r="G102" s="5">
        <f t="shared" si="87"/>
        <v>1200000</v>
      </c>
      <c r="H102" s="5">
        <f>+(83140/30)*F102</f>
        <v>83140</v>
      </c>
      <c r="I102" s="5"/>
      <c r="J102" s="5"/>
      <c r="K102" s="5">
        <f t="shared" ref="K102" si="90">SUM(G102:I102)+J102</f>
        <v>1283140</v>
      </c>
      <c r="L102" s="5">
        <f t="shared" ref="L102:L105" si="91">+G102*4%</f>
        <v>48000</v>
      </c>
      <c r="M102" s="5">
        <f>+G102*4%</f>
        <v>48000</v>
      </c>
      <c r="N102" s="5"/>
      <c r="O102" s="5"/>
      <c r="P102" s="5"/>
      <c r="Q102" s="5"/>
      <c r="R102" s="5"/>
      <c r="S102" s="5"/>
      <c r="T102" s="5">
        <f t="shared" ref="T102" si="92">SUM(L102:S102)</f>
        <v>96000</v>
      </c>
      <c r="U102" s="7">
        <f>K102-T102</f>
        <v>1187140</v>
      </c>
      <c r="V102" s="7"/>
      <c r="W102" s="44"/>
      <c r="X102" s="7">
        <f t="shared" si="62"/>
        <v>1187140</v>
      </c>
    </row>
    <row r="103" spans="1:24" ht="24" x14ac:dyDescent="0.25">
      <c r="A103" s="90"/>
      <c r="B103" s="4">
        <v>55</v>
      </c>
      <c r="C103" s="11" t="s">
        <v>128</v>
      </c>
      <c r="D103" s="6" t="s">
        <v>27</v>
      </c>
      <c r="E103" s="5">
        <v>2500000</v>
      </c>
      <c r="F103" s="5">
        <v>29</v>
      </c>
      <c r="G103" s="5">
        <f t="shared" si="87"/>
        <v>2416666.6666666665</v>
      </c>
      <c r="H103" s="5"/>
      <c r="I103" s="5"/>
      <c r="J103" s="5"/>
      <c r="K103" s="5">
        <f t="shared" si="79"/>
        <v>2416666.6666666665</v>
      </c>
      <c r="L103" s="5">
        <f t="shared" si="91"/>
        <v>96666.666666666657</v>
      </c>
      <c r="M103" s="5">
        <f>+G103*4%</f>
        <v>96666.666666666657</v>
      </c>
      <c r="N103" s="5"/>
      <c r="O103" s="5"/>
      <c r="P103" s="5"/>
      <c r="Q103" s="5"/>
      <c r="R103" s="5"/>
      <c r="S103" s="5"/>
      <c r="T103" s="5">
        <f t="shared" si="61"/>
        <v>193333.33333333331</v>
      </c>
      <c r="U103" s="7">
        <f>+K103-T103</f>
        <v>2223333.333333333</v>
      </c>
      <c r="V103" s="7"/>
      <c r="W103" s="44"/>
      <c r="X103" s="7">
        <f t="shared" si="62"/>
        <v>2223333.333333333</v>
      </c>
    </row>
    <row r="104" spans="1:24" x14ac:dyDescent="0.25">
      <c r="A104" s="90"/>
      <c r="B104" s="4">
        <v>56</v>
      </c>
      <c r="C104" s="11" t="s">
        <v>129</v>
      </c>
      <c r="D104" s="6" t="s">
        <v>27</v>
      </c>
      <c r="E104" s="5">
        <v>3700000</v>
      </c>
      <c r="F104" s="5">
        <v>30</v>
      </c>
      <c r="G104" s="5">
        <f t="shared" si="87"/>
        <v>3700000</v>
      </c>
      <c r="H104" s="5"/>
      <c r="I104" s="5">
        <v>650000</v>
      </c>
      <c r="J104" s="5"/>
      <c r="K104" s="5">
        <f t="shared" ref="K104" si="93">SUM(G104:I104)+J104</f>
        <v>4350000</v>
      </c>
      <c r="L104" s="5">
        <f t="shared" si="91"/>
        <v>148000</v>
      </c>
      <c r="M104" s="5">
        <f>+G104*5%</f>
        <v>185000</v>
      </c>
      <c r="N104" s="5"/>
      <c r="O104" s="5"/>
      <c r="P104" s="5">
        <v>35000</v>
      </c>
      <c r="Q104" s="5"/>
      <c r="R104" s="5"/>
      <c r="S104" s="5"/>
      <c r="T104" s="5">
        <f t="shared" ref="T104" si="94">SUM(L104:S104)</f>
        <v>368000</v>
      </c>
      <c r="U104" s="7">
        <f>+K104-T104</f>
        <v>3982000</v>
      </c>
      <c r="V104" s="7"/>
      <c r="W104" s="44"/>
      <c r="X104" s="7">
        <f t="shared" si="62"/>
        <v>3982000</v>
      </c>
    </row>
    <row r="105" spans="1:24" x14ac:dyDescent="0.25">
      <c r="A105" s="90"/>
      <c r="B105" s="4">
        <v>57</v>
      </c>
      <c r="C105" s="11" t="s">
        <v>130</v>
      </c>
      <c r="D105" s="6" t="s">
        <v>35</v>
      </c>
      <c r="E105" s="5">
        <v>1400000</v>
      </c>
      <c r="F105" s="5">
        <v>30</v>
      </c>
      <c r="G105" s="5">
        <f t="shared" si="87"/>
        <v>1400000</v>
      </c>
      <c r="H105" s="5">
        <f>+(83140/30)*F105</f>
        <v>83140</v>
      </c>
      <c r="I105" s="5"/>
      <c r="J105" s="5"/>
      <c r="K105" s="5">
        <f t="shared" si="79"/>
        <v>1483140</v>
      </c>
      <c r="L105" s="5">
        <f t="shared" si="91"/>
        <v>56000</v>
      </c>
      <c r="M105" s="5">
        <f>+G105*4%</f>
        <v>56000</v>
      </c>
      <c r="N105" s="5"/>
      <c r="O105" s="5"/>
      <c r="P105" s="17"/>
      <c r="Q105" s="5"/>
      <c r="R105" s="5"/>
      <c r="S105" s="5"/>
      <c r="T105" s="5">
        <f t="shared" si="61"/>
        <v>112000</v>
      </c>
      <c r="U105" s="7">
        <f>+K105-T105</f>
        <v>1371140</v>
      </c>
      <c r="V105" s="7"/>
      <c r="W105" s="44"/>
      <c r="X105" s="7">
        <f t="shared" si="62"/>
        <v>1371140</v>
      </c>
    </row>
    <row r="106" spans="1:24" x14ac:dyDescent="0.25">
      <c r="A106" s="90"/>
      <c r="B106" s="4">
        <v>58</v>
      </c>
      <c r="C106" s="3" t="s">
        <v>131</v>
      </c>
      <c r="D106" s="4" t="s">
        <v>27</v>
      </c>
      <c r="E106" s="5">
        <v>1600000</v>
      </c>
      <c r="F106" s="5">
        <v>21</v>
      </c>
      <c r="G106" s="5">
        <f t="shared" si="87"/>
        <v>1120000</v>
      </c>
      <c r="H106" s="5"/>
      <c r="I106" s="5"/>
      <c r="J106" s="5">
        <f>+E106-G106</f>
        <v>480000</v>
      </c>
      <c r="K106" s="5">
        <f t="shared" si="79"/>
        <v>1600000</v>
      </c>
      <c r="L106" s="5">
        <f>+K106*4%</f>
        <v>64000</v>
      </c>
      <c r="M106" s="5">
        <v>64000</v>
      </c>
      <c r="N106" s="5"/>
      <c r="O106" s="5"/>
      <c r="P106" s="5">
        <v>0</v>
      </c>
      <c r="Q106" s="5"/>
      <c r="R106" s="5"/>
      <c r="S106" s="5">
        <v>249127</v>
      </c>
      <c r="T106" s="5">
        <f t="shared" si="61"/>
        <v>377127</v>
      </c>
      <c r="U106" s="7">
        <f>K106-T106</f>
        <v>1222873</v>
      </c>
      <c r="V106" s="7"/>
      <c r="W106" s="44"/>
      <c r="X106" s="7">
        <f t="shared" si="62"/>
        <v>1222873</v>
      </c>
    </row>
    <row r="107" spans="1:24" ht="12.75" thickBot="1" x14ac:dyDescent="0.3">
      <c r="A107" s="90"/>
      <c r="B107" s="4">
        <v>59</v>
      </c>
      <c r="C107" s="11" t="s">
        <v>132</v>
      </c>
      <c r="D107" s="6" t="s">
        <v>27</v>
      </c>
      <c r="E107" s="5">
        <v>737717</v>
      </c>
      <c r="F107" s="5">
        <v>30</v>
      </c>
      <c r="G107" s="5">
        <f>+E107/30*F107</f>
        <v>737717</v>
      </c>
      <c r="H107" s="5">
        <f t="shared" ref="H107:H109" si="95">+(83140/30)*F107</f>
        <v>83140</v>
      </c>
      <c r="I107" s="5"/>
      <c r="J107" s="22"/>
      <c r="K107" s="5">
        <f t="shared" si="79"/>
        <v>820857</v>
      </c>
      <c r="L107" s="5">
        <f t="shared" si="88"/>
        <v>29508.68</v>
      </c>
      <c r="M107" s="5">
        <f t="shared" ref="M107" si="96">+G107*4%</f>
        <v>29508.68</v>
      </c>
      <c r="N107" s="5"/>
      <c r="O107" s="5"/>
      <c r="P107" s="5">
        <v>0</v>
      </c>
      <c r="Q107" s="5"/>
      <c r="R107" s="5"/>
      <c r="S107" s="5"/>
      <c r="T107" s="5">
        <f t="shared" si="61"/>
        <v>59017.36</v>
      </c>
      <c r="U107" s="7">
        <f t="shared" ref="U107:U113" si="97">+K107-T107</f>
        <v>761839.64</v>
      </c>
      <c r="V107" s="7"/>
      <c r="W107" s="44"/>
      <c r="X107" s="7">
        <f t="shared" si="62"/>
        <v>761839.64</v>
      </c>
    </row>
    <row r="108" spans="1:24" ht="24.75" thickBot="1" x14ac:dyDescent="0.3">
      <c r="A108" s="91"/>
      <c r="B108" s="4">
        <v>60</v>
      </c>
      <c r="C108" s="11" t="s">
        <v>133</v>
      </c>
      <c r="D108" s="6" t="s">
        <v>27</v>
      </c>
      <c r="E108" s="5">
        <v>1200000</v>
      </c>
      <c r="F108" s="5">
        <v>30</v>
      </c>
      <c r="G108" s="5">
        <f>+E108/30*F108</f>
        <v>1200000</v>
      </c>
      <c r="H108" s="5">
        <f t="shared" si="95"/>
        <v>83140</v>
      </c>
      <c r="I108" s="48"/>
      <c r="J108" s="49">
        <f>+E108-G108</f>
        <v>0</v>
      </c>
      <c r="K108" s="50">
        <f t="shared" si="79"/>
        <v>1283140</v>
      </c>
      <c r="L108" s="5">
        <v>48000</v>
      </c>
      <c r="M108" s="5">
        <v>48000</v>
      </c>
      <c r="N108" s="5"/>
      <c r="O108" s="5"/>
      <c r="P108" s="5">
        <v>0</v>
      </c>
      <c r="Q108" s="5"/>
      <c r="R108" s="5"/>
      <c r="S108" s="5"/>
      <c r="T108" s="5">
        <f t="shared" si="61"/>
        <v>96000</v>
      </c>
      <c r="U108" s="7">
        <f t="shared" si="97"/>
        <v>1187140</v>
      </c>
      <c r="V108" s="7"/>
      <c r="W108" s="44"/>
      <c r="X108" s="7">
        <f t="shared" si="62"/>
        <v>1187140</v>
      </c>
    </row>
    <row r="109" spans="1:24" ht="24" x14ac:dyDescent="0.25">
      <c r="A109" s="51"/>
      <c r="B109" s="4">
        <v>61</v>
      </c>
      <c r="C109" s="11" t="s">
        <v>134</v>
      </c>
      <c r="D109" s="6" t="s">
        <v>27</v>
      </c>
      <c r="E109" s="5">
        <v>1100000</v>
      </c>
      <c r="F109" s="5">
        <v>30</v>
      </c>
      <c r="G109" s="5">
        <f>+E109/30*F109</f>
        <v>1100000</v>
      </c>
      <c r="H109" s="5">
        <f t="shared" si="95"/>
        <v>83140</v>
      </c>
      <c r="I109" s="5"/>
      <c r="J109" s="21"/>
      <c r="K109" s="5">
        <f t="shared" si="79"/>
        <v>1183140</v>
      </c>
      <c r="L109" s="5">
        <f t="shared" ref="L109" si="98">+G109*4%</f>
        <v>44000</v>
      </c>
      <c r="M109" s="5">
        <f t="shared" ref="M109" si="99">+G109*4%</f>
        <v>44000</v>
      </c>
      <c r="N109" s="5"/>
      <c r="O109" s="5"/>
      <c r="P109" s="5">
        <v>0</v>
      </c>
      <c r="Q109" s="5"/>
      <c r="R109" s="5"/>
      <c r="S109" s="5"/>
      <c r="T109" s="5">
        <f t="shared" ref="T109" si="100">SUM(L109:S109)</f>
        <v>88000</v>
      </c>
      <c r="U109" s="7">
        <f t="shared" si="97"/>
        <v>1095140</v>
      </c>
      <c r="V109" s="7"/>
      <c r="W109" s="44"/>
      <c r="X109" s="7">
        <f t="shared" si="62"/>
        <v>1095140</v>
      </c>
    </row>
    <row r="110" spans="1:24" ht="18.75" customHeight="1" x14ac:dyDescent="0.25">
      <c r="A110" s="51"/>
      <c r="B110" s="4">
        <v>62</v>
      </c>
      <c r="C110" s="11" t="s">
        <v>135</v>
      </c>
      <c r="D110" s="6" t="s">
        <v>27</v>
      </c>
      <c r="E110" s="5">
        <v>2000000</v>
      </c>
      <c r="F110" s="5">
        <v>14</v>
      </c>
      <c r="G110" s="5">
        <f t="shared" ref="G110:G114" si="101">+E110/30*F110</f>
        <v>933333.33333333337</v>
      </c>
      <c r="H110" s="5"/>
      <c r="I110" s="5"/>
      <c r="J110" s="5">
        <f>+E110-G110</f>
        <v>1066666.6666666665</v>
      </c>
      <c r="K110" s="5">
        <f t="shared" si="79"/>
        <v>2000000</v>
      </c>
      <c r="L110" s="5">
        <v>80000</v>
      </c>
      <c r="M110" s="5">
        <v>80000</v>
      </c>
      <c r="N110" s="5"/>
      <c r="O110" s="5"/>
      <c r="P110" s="5"/>
      <c r="Q110" s="5"/>
      <c r="R110" s="5"/>
      <c r="S110" s="5"/>
      <c r="T110" s="5">
        <f t="shared" si="61"/>
        <v>160000</v>
      </c>
      <c r="U110" s="7">
        <f t="shared" si="97"/>
        <v>1840000</v>
      </c>
      <c r="V110" s="7"/>
      <c r="W110" s="44"/>
      <c r="X110" s="7">
        <f t="shared" si="62"/>
        <v>1840000</v>
      </c>
    </row>
    <row r="111" spans="1:24" ht="18.75" customHeight="1" x14ac:dyDescent="0.25">
      <c r="A111" s="51"/>
      <c r="B111" s="4">
        <v>63</v>
      </c>
      <c r="C111" s="11" t="s">
        <v>136</v>
      </c>
      <c r="D111" s="6"/>
      <c r="E111" s="5">
        <v>737717</v>
      </c>
      <c r="F111" s="5">
        <v>7</v>
      </c>
      <c r="G111" s="5">
        <f>+E111/30*F111</f>
        <v>172133.96666666667</v>
      </c>
      <c r="H111" s="5">
        <f t="shared" ref="H111:H112" si="102">+(83140/30)*F111</f>
        <v>19399.333333333336</v>
      </c>
      <c r="I111" s="5"/>
      <c r="J111" s="22"/>
      <c r="K111" s="5">
        <f t="shared" ref="K111:K112" si="103">SUM(G111:I111)+J111</f>
        <v>191533.30000000002</v>
      </c>
      <c r="L111" s="5">
        <f t="shared" ref="L111:L112" si="104">+G111*4%</f>
        <v>6885.358666666667</v>
      </c>
      <c r="M111" s="5">
        <f t="shared" ref="M111:M112" si="105">+G111*4%</f>
        <v>6885.358666666667</v>
      </c>
      <c r="N111" s="5"/>
      <c r="O111" s="5"/>
      <c r="P111" s="5">
        <v>0</v>
      </c>
      <c r="Q111" s="5"/>
      <c r="R111" s="5"/>
      <c r="S111" s="5"/>
      <c r="T111" s="5">
        <f t="shared" si="61"/>
        <v>13770.717333333334</v>
      </c>
      <c r="U111" s="7">
        <f t="shared" si="97"/>
        <v>177762.58266666668</v>
      </c>
      <c r="V111" s="7"/>
      <c r="W111" s="44"/>
      <c r="X111" s="7">
        <f t="shared" si="62"/>
        <v>177762.58266666668</v>
      </c>
    </row>
    <row r="112" spans="1:24" ht="18.75" customHeight="1" x14ac:dyDescent="0.25">
      <c r="A112" s="51"/>
      <c r="B112" s="4">
        <v>64</v>
      </c>
      <c r="C112" s="11" t="s">
        <v>137</v>
      </c>
      <c r="D112" s="6"/>
      <c r="E112" s="5">
        <v>1070000</v>
      </c>
      <c r="F112" s="5">
        <v>19</v>
      </c>
      <c r="G112" s="5">
        <f>+E112/30*F112</f>
        <v>677666.66666666663</v>
      </c>
      <c r="H112" s="5">
        <f t="shared" si="102"/>
        <v>52655.333333333336</v>
      </c>
      <c r="I112" s="5"/>
      <c r="J112" s="22"/>
      <c r="K112" s="5">
        <f t="shared" si="103"/>
        <v>730322</v>
      </c>
      <c r="L112" s="5">
        <f t="shared" si="104"/>
        <v>27106.666666666664</v>
      </c>
      <c r="M112" s="5">
        <f t="shared" si="105"/>
        <v>27106.666666666664</v>
      </c>
      <c r="N112" s="5"/>
      <c r="O112" s="5"/>
      <c r="P112" s="5">
        <v>0</v>
      </c>
      <c r="Q112" s="5"/>
      <c r="R112" s="5"/>
      <c r="S112" s="5"/>
      <c r="T112" s="5">
        <f t="shared" ref="T112" si="106">SUM(L112:S112)</f>
        <v>54213.333333333328</v>
      </c>
      <c r="U112" s="7">
        <f t="shared" si="97"/>
        <v>676108.66666666663</v>
      </c>
      <c r="V112" s="7"/>
      <c r="W112" s="44"/>
      <c r="X112" s="7">
        <f t="shared" si="62"/>
        <v>676108.66666666663</v>
      </c>
    </row>
    <row r="113" spans="1:28" x14ac:dyDescent="0.25">
      <c r="A113" s="51"/>
      <c r="B113" s="4">
        <v>65</v>
      </c>
      <c r="C113" s="11" t="s">
        <v>138</v>
      </c>
      <c r="D113" s="6" t="s">
        <v>27</v>
      </c>
      <c r="E113" s="5">
        <v>4000000</v>
      </c>
      <c r="F113" s="5">
        <v>21</v>
      </c>
      <c r="G113" s="5">
        <f>+E113/30*F113</f>
        <v>2800000</v>
      </c>
      <c r="H113" s="5"/>
      <c r="I113" s="5"/>
      <c r="J113" s="5"/>
      <c r="K113" s="5">
        <f t="shared" ref="K113" si="107">SUM(G113:I113)+J113</f>
        <v>2800000</v>
      </c>
      <c r="L113" s="5">
        <f>+G113*4%</f>
        <v>112000</v>
      </c>
      <c r="M113" s="5">
        <f>+G113*4%</f>
        <v>112000</v>
      </c>
      <c r="N113" s="5"/>
      <c r="O113" s="5"/>
      <c r="P113" s="5">
        <v>31064</v>
      </c>
      <c r="Q113" s="5"/>
      <c r="R113" s="5"/>
      <c r="S113" s="5"/>
      <c r="T113" s="5">
        <f t="shared" si="61"/>
        <v>255064</v>
      </c>
      <c r="U113" s="7">
        <f t="shared" si="97"/>
        <v>2544936</v>
      </c>
      <c r="V113" s="7"/>
      <c r="W113" s="44"/>
      <c r="X113" s="7">
        <f t="shared" si="62"/>
        <v>2544936</v>
      </c>
    </row>
    <row r="114" spans="1:28" ht="24.75" customHeight="1" x14ac:dyDescent="0.25">
      <c r="A114" s="51"/>
      <c r="B114" s="4">
        <v>66</v>
      </c>
      <c r="C114" s="11" t="s">
        <v>139</v>
      </c>
      <c r="D114" s="6" t="s">
        <v>27</v>
      </c>
      <c r="E114" s="5">
        <v>2500000</v>
      </c>
      <c r="F114" s="5">
        <v>30</v>
      </c>
      <c r="G114" s="5">
        <f t="shared" si="101"/>
        <v>2500000</v>
      </c>
      <c r="H114" s="5"/>
      <c r="I114" s="5">
        <v>500000</v>
      </c>
      <c r="J114" s="5">
        <f>+E114-G114</f>
        <v>0</v>
      </c>
      <c r="K114" s="5">
        <f t="shared" si="79"/>
        <v>3000000</v>
      </c>
      <c r="L114" s="5">
        <v>100000</v>
      </c>
      <c r="M114" s="5">
        <v>100000</v>
      </c>
      <c r="N114" s="5"/>
      <c r="O114" s="5"/>
      <c r="P114" s="5">
        <v>0</v>
      </c>
      <c r="Q114" s="5"/>
      <c r="R114" s="5"/>
      <c r="S114" s="5"/>
      <c r="T114" s="5">
        <f t="shared" si="61"/>
        <v>200000</v>
      </c>
      <c r="U114" s="7">
        <f>K114-T114</f>
        <v>2800000</v>
      </c>
      <c r="V114" s="7"/>
      <c r="W114" s="44"/>
      <c r="X114" s="7">
        <f t="shared" si="62"/>
        <v>2800000</v>
      </c>
    </row>
    <row r="115" spans="1:28" x14ac:dyDescent="0.25">
      <c r="A115" s="4"/>
      <c r="B115" s="4"/>
      <c r="C115" s="11" t="s">
        <v>140</v>
      </c>
      <c r="D115" s="4"/>
      <c r="E115" s="5">
        <f>SUM(E4:E114)</f>
        <v>372915505</v>
      </c>
      <c r="F115" s="5" t="s">
        <v>1</v>
      </c>
      <c r="G115" s="5">
        <f>SUM(G4:G114)</f>
        <v>346034290.56666666</v>
      </c>
      <c r="H115" s="5">
        <f>SUM(H5:H108)</f>
        <v>2070350.3333333337</v>
      </c>
      <c r="I115" s="5">
        <f>SUM(I5:I108)</f>
        <v>13633987</v>
      </c>
      <c r="J115" s="5">
        <f>SUM(J4:J114)</f>
        <v>12712902.333333332</v>
      </c>
      <c r="K115" s="5">
        <f>SUM(K5:K108)</f>
        <v>360386729.60000002</v>
      </c>
      <c r="L115" s="5">
        <f>SUM(L5:L108)</f>
        <v>13860951.397333333</v>
      </c>
      <c r="M115" s="5">
        <f>SUM(M5:M108)</f>
        <v>16664724.524</v>
      </c>
      <c r="N115" s="5">
        <f>SUM(N5:N108)</f>
        <v>102400</v>
      </c>
      <c r="O115" s="5">
        <f>SUM(O4:O114)</f>
        <v>0</v>
      </c>
      <c r="P115" s="5">
        <f>SUM(P4:P114)</f>
        <v>5057500</v>
      </c>
      <c r="Q115" s="5">
        <f>SUM(Q5:Q108)</f>
        <v>7500000</v>
      </c>
      <c r="R115" s="5">
        <f>SUM(R5:R108)</f>
        <v>1749612</v>
      </c>
      <c r="S115" s="5">
        <f>SUM(S5:S108)</f>
        <v>10165074</v>
      </c>
      <c r="T115" s="5">
        <f>SUM(T5:T108)</f>
        <v>55050197.92133332</v>
      </c>
      <c r="U115" s="7">
        <f>SUM(U4:U114)</f>
        <v>318833128.92799991</v>
      </c>
      <c r="V115" s="7">
        <f>SUM(V5:V108)</f>
        <v>0</v>
      </c>
      <c r="W115" s="44">
        <f>SUM(W5:W108)</f>
        <v>0</v>
      </c>
      <c r="X115" s="7">
        <f>SUM(X4:X114)</f>
        <v>309261929.28799993</v>
      </c>
    </row>
    <row r="116" spans="1:28" x14ac:dyDescent="0.25">
      <c r="E116" s="54"/>
      <c r="F116" s="54"/>
      <c r="G116" s="54"/>
      <c r="U116" s="55"/>
      <c r="V116" s="55"/>
      <c r="X116" s="55"/>
    </row>
    <row r="117" spans="1:28" x14ac:dyDescent="0.25">
      <c r="D117" s="53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7"/>
      <c r="V117" s="53"/>
      <c r="W117" s="58"/>
      <c r="X117" s="57"/>
    </row>
    <row r="118" spans="1:28" x14ac:dyDescent="0.25">
      <c r="D118" s="53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3"/>
      <c r="V118" s="53"/>
      <c r="W118" s="58"/>
      <c r="X118" s="57"/>
    </row>
    <row r="119" spans="1:28" x14ac:dyDescent="0.25">
      <c r="C119" s="59"/>
      <c r="D119" s="53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3"/>
      <c r="V119" s="53"/>
      <c r="W119" s="58"/>
      <c r="X119" s="57"/>
    </row>
    <row r="120" spans="1:28" x14ac:dyDescent="0.25">
      <c r="C120" s="59"/>
      <c r="D120" s="53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3"/>
      <c r="V120" s="53"/>
      <c r="W120" s="58"/>
      <c r="X120" s="53"/>
      <c r="Y120" s="53"/>
      <c r="Z120" s="53"/>
      <c r="AA120" s="53"/>
      <c r="AB120" s="53"/>
    </row>
    <row r="121" spans="1:28" x14ac:dyDescent="0.25">
      <c r="B121" s="53"/>
      <c r="C121" s="59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54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53"/>
      <c r="Z121" s="53"/>
      <c r="AA121" s="53"/>
      <c r="AB121" s="53"/>
    </row>
    <row r="122" spans="1:28" x14ac:dyDescent="0.25">
      <c r="B122" s="53"/>
      <c r="C122" s="59"/>
      <c r="D122" s="53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3"/>
      <c r="V122" s="53"/>
      <c r="W122" s="58"/>
      <c r="X122" s="53"/>
      <c r="Y122" s="53"/>
      <c r="Z122" s="53"/>
      <c r="AA122" s="53"/>
      <c r="AB122" s="53"/>
    </row>
    <row r="123" spans="1:28" x14ac:dyDescent="0.25">
      <c r="B123" s="53"/>
      <c r="C123" s="59"/>
      <c r="D123" s="53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3"/>
      <c r="V123" s="53"/>
      <c r="W123" s="58"/>
      <c r="X123" s="53"/>
      <c r="Y123" s="53"/>
      <c r="Z123" s="53"/>
      <c r="AA123" s="53"/>
      <c r="AB123" s="53"/>
    </row>
    <row r="124" spans="1:28" x14ac:dyDescent="0.25">
      <c r="B124" s="53"/>
      <c r="C124" s="59"/>
      <c r="D124" s="53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3"/>
      <c r="V124" s="53"/>
      <c r="W124" s="58"/>
      <c r="X124" s="53"/>
      <c r="Y124" s="53"/>
      <c r="Z124" s="53"/>
      <c r="AA124" s="53"/>
      <c r="AB124" s="53"/>
    </row>
    <row r="125" spans="1:28" x14ac:dyDescent="0.25">
      <c r="B125" s="53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2"/>
      <c r="W125" s="63"/>
      <c r="X125" s="62"/>
      <c r="Y125" s="53"/>
      <c r="Z125" s="53"/>
      <c r="AA125" s="53"/>
      <c r="AB125" s="53"/>
    </row>
    <row r="126" spans="1:28" x14ac:dyDescent="0.25">
      <c r="B126" s="64"/>
      <c r="C126" s="59"/>
      <c r="D126" s="62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2"/>
      <c r="V126" s="62"/>
      <c r="W126" s="63"/>
      <c r="X126" s="62"/>
      <c r="Y126" s="53"/>
      <c r="Z126" s="53"/>
      <c r="AA126" s="53"/>
      <c r="AB126" s="53"/>
    </row>
    <row r="127" spans="1:28" x14ac:dyDescent="0.25">
      <c r="B127" s="53"/>
      <c r="C127" s="59"/>
      <c r="D127" s="53"/>
      <c r="E127" s="54"/>
      <c r="F127" s="54"/>
      <c r="G127" s="66"/>
      <c r="H127" s="54"/>
      <c r="I127" s="54"/>
      <c r="J127" s="54"/>
      <c r="K127" s="54"/>
      <c r="L127" s="54"/>
      <c r="M127" s="54"/>
      <c r="N127" s="67"/>
      <c r="O127" s="67"/>
      <c r="P127" s="67"/>
      <c r="Q127" s="67"/>
      <c r="R127" s="67"/>
      <c r="S127" s="54"/>
      <c r="T127" s="54"/>
      <c r="U127" s="53"/>
      <c r="V127" s="53"/>
      <c r="W127" s="58"/>
      <c r="X127" s="53"/>
      <c r="Y127" s="53"/>
      <c r="Z127" s="53"/>
      <c r="AA127" s="53"/>
      <c r="AB127" s="53"/>
    </row>
    <row r="128" spans="1:28" x14ac:dyDescent="0.25">
      <c r="B128" s="53"/>
      <c r="C128" s="68"/>
      <c r="D128" s="62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2"/>
      <c r="V128" s="62"/>
      <c r="W128" s="63"/>
      <c r="X128" s="62"/>
      <c r="Y128" s="53"/>
      <c r="Z128" s="53"/>
      <c r="AA128" s="53"/>
      <c r="AB128" s="53"/>
    </row>
    <row r="129" spans="2:28" x14ac:dyDescent="0.25">
      <c r="B129" s="62"/>
      <c r="C129" s="68"/>
      <c r="D129" s="62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2"/>
      <c r="V129" s="62"/>
      <c r="W129" s="63"/>
      <c r="X129" s="62"/>
      <c r="Y129" s="53"/>
      <c r="Z129" s="53"/>
      <c r="AA129" s="53"/>
      <c r="AB129" s="53"/>
    </row>
    <row r="130" spans="2:28" x14ac:dyDescent="0.25">
      <c r="B130" s="53"/>
      <c r="C130" s="68"/>
      <c r="D130" s="62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7"/>
      <c r="V130" s="57"/>
      <c r="W130" s="58"/>
      <c r="X130" s="57"/>
      <c r="Y130" s="53"/>
      <c r="Z130" s="53"/>
      <c r="AA130" s="53"/>
      <c r="AB130" s="53"/>
    </row>
    <row r="131" spans="2:28" x14ac:dyDescent="0.25">
      <c r="C131" s="68"/>
      <c r="D131" s="62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7"/>
      <c r="V131" s="57"/>
      <c r="W131" s="58"/>
      <c r="X131" s="57"/>
      <c r="Y131" s="53"/>
      <c r="Z131" s="53"/>
      <c r="AA131" s="53"/>
      <c r="AB131" s="53"/>
    </row>
    <row r="132" spans="2:28" x14ac:dyDescent="0.25">
      <c r="C132" s="68"/>
      <c r="D132" s="62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7"/>
      <c r="V132" s="57"/>
      <c r="W132" s="58"/>
      <c r="X132" s="57"/>
      <c r="Y132" s="53"/>
      <c r="Z132" s="53"/>
      <c r="AA132" s="53"/>
      <c r="AB132" s="53"/>
    </row>
    <row r="133" spans="2:28" x14ac:dyDescent="0.25">
      <c r="C133" s="68"/>
      <c r="D133" s="62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7"/>
      <c r="V133" s="57"/>
      <c r="W133" s="58"/>
      <c r="X133" s="57"/>
      <c r="Y133" s="53"/>
      <c r="Z133" s="53"/>
      <c r="AA133" s="53"/>
      <c r="AB133" s="53"/>
    </row>
    <row r="134" spans="2:28" x14ac:dyDescent="0.25">
      <c r="C134" s="68"/>
      <c r="D134" s="62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7"/>
      <c r="V134" s="57"/>
      <c r="W134" s="58"/>
      <c r="X134" s="57"/>
      <c r="Y134" s="53"/>
      <c r="Z134" s="53"/>
      <c r="AA134" s="53"/>
      <c r="AB134" s="53"/>
    </row>
    <row r="135" spans="2:28" x14ac:dyDescent="0.25">
      <c r="C135" s="68"/>
      <c r="D135" s="62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7"/>
      <c r="V135" s="57"/>
      <c r="W135" s="58"/>
      <c r="X135" s="57"/>
      <c r="Y135" s="53"/>
      <c r="Z135" s="53"/>
      <c r="AA135" s="53"/>
      <c r="AB135" s="53"/>
    </row>
    <row r="136" spans="2:28" x14ac:dyDescent="0.25">
      <c r="C136" s="59"/>
      <c r="D136" s="53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7"/>
      <c r="V136" s="57"/>
      <c r="W136" s="58"/>
      <c r="X136" s="57"/>
      <c r="Y136" s="53"/>
      <c r="Z136" s="53"/>
      <c r="AA136" s="53"/>
      <c r="AB136" s="53"/>
    </row>
    <row r="137" spans="2:28" x14ac:dyDescent="0.25">
      <c r="C137" s="68"/>
      <c r="D137" s="53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7"/>
      <c r="V137" s="57"/>
      <c r="W137" s="58"/>
      <c r="X137" s="57"/>
      <c r="Y137" s="53"/>
      <c r="Z137" s="53"/>
      <c r="AA137" s="53"/>
      <c r="AB137" s="53"/>
    </row>
    <row r="138" spans="2:28" x14ac:dyDescent="0.25">
      <c r="C138" s="68"/>
      <c r="D138" s="53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7"/>
      <c r="V138" s="57"/>
      <c r="W138" s="58"/>
      <c r="X138" s="57"/>
      <c r="Y138" s="53"/>
      <c r="Z138" s="53"/>
      <c r="AA138" s="53"/>
      <c r="AB138" s="53"/>
    </row>
    <row r="139" spans="2:28" x14ac:dyDescent="0.25">
      <c r="C139" s="68"/>
      <c r="D139" s="53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7"/>
      <c r="V139" s="57"/>
      <c r="W139" s="58"/>
      <c r="X139" s="57"/>
      <c r="Y139" s="53"/>
      <c r="Z139" s="53"/>
      <c r="AA139" s="53"/>
      <c r="AB139" s="53"/>
    </row>
    <row r="140" spans="2:28" x14ac:dyDescent="0.25">
      <c r="C140" s="68"/>
      <c r="D140" s="53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7"/>
      <c r="V140" s="57"/>
      <c r="W140" s="58"/>
      <c r="X140" s="57"/>
      <c r="Y140" s="53"/>
      <c r="Z140" s="53"/>
      <c r="AA140" s="53"/>
      <c r="AB140" s="53"/>
    </row>
    <row r="141" spans="2:28" x14ac:dyDescent="0.25">
      <c r="C141" s="68"/>
      <c r="D141" s="53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7"/>
      <c r="V141" s="57"/>
      <c r="W141" s="58"/>
      <c r="X141" s="57"/>
      <c r="Y141" s="53"/>
      <c r="Z141" s="53"/>
      <c r="AA141" s="53"/>
      <c r="AB141" s="53"/>
    </row>
    <row r="142" spans="2:28" x14ac:dyDescent="0.25">
      <c r="C142" s="68"/>
      <c r="D142" s="53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7"/>
      <c r="V142" s="57"/>
      <c r="W142" s="58"/>
      <c r="X142" s="57"/>
      <c r="Y142" s="53"/>
      <c r="Z142" s="53"/>
      <c r="AA142" s="53"/>
      <c r="AB142" s="53"/>
    </row>
    <row r="143" spans="2:28" x14ac:dyDescent="0.25">
      <c r="C143" s="68"/>
      <c r="D143" s="53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7"/>
      <c r="V143" s="57"/>
      <c r="W143" s="58"/>
      <c r="X143" s="57"/>
      <c r="Y143" s="53"/>
      <c r="Z143" s="53"/>
      <c r="AA143" s="53"/>
      <c r="AB143" s="53"/>
    </row>
    <row r="144" spans="2:28" x14ac:dyDescent="0.25">
      <c r="C144" s="68"/>
      <c r="D144" s="53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7"/>
      <c r="V144" s="57"/>
      <c r="W144" s="58"/>
      <c r="X144" s="57"/>
      <c r="Y144" s="53"/>
      <c r="Z144" s="53"/>
      <c r="AA144" s="53"/>
      <c r="AB144" s="53"/>
    </row>
    <row r="145" spans="2:28" x14ac:dyDescent="0.25">
      <c r="C145" s="68"/>
      <c r="D145" s="53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7"/>
      <c r="V145" s="57"/>
      <c r="W145" s="58"/>
      <c r="X145" s="57"/>
      <c r="Y145" s="53"/>
      <c r="Z145" s="53"/>
      <c r="AA145" s="53"/>
      <c r="AB145" s="53"/>
    </row>
    <row r="146" spans="2:28" x14ac:dyDescent="0.25">
      <c r="C146" s="68"/>
      <c r="D146" s="53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7"/>
      <c r="V146" s="57"/>
      <c r="W146" s="58"/>
      <c r="X146" s="57"/>
      <c r="Y146" s="53"/>
      <c r="Z146" s="53"/>
      <c r="AA146" s="53"/>
      <c r="AB146" s="53"/>
    </row>
    <row r="147" spans="2:28" x14ac:dyDescent="0.25">
      <c r="C147" s="68"/>
      <c r="D147" s="53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7"/>
      <c r="V147" s="57"/>
      <c r="W147" s="58"/>
      <c r="X147" s="57"/>
      <c r="Y147" s="53"/>
      <c r="Z147" s="53"/>
      <c r="AA147" s="53"/>
      <c r="AB147" s="53"/>
    </row>
    <row r="148" spans="2:28" x14ac:dyDescent="0.25">
      <c r="C148" s="59"/>
      <c r="D148" s="53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3"/>
      <c r="V148" s="53"/>
      <c r="W148" s="58"/>
      <c r="X148" s="53"/>
      <c r="Y148" s="53"/>
      <c r="Z148" s="53"/>
      <c r="AA148" s="53"/>
      <c r="AB148" s="53"/>
    </row>
    <row r="149" spans="2:28" x14ac:dyDescent="0.25">
      <c r="C149" s="59"/>
      <c r="D149" s="53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53"/>
      <c r="S149" s="54"/>
      <c r="T149" s="54"/>
      <c r="U149" s="53"/>
      <c r="V149" s="53"/>
      <c r="W149" s="58"/>
      <c r="X149" s="53"/>
      <c r="Y149" s="53"/>
      <c r="Z149" s="53"/>
      <c r="AA149" s="53"/>
      <c r="AB149" s="53"/>
    </row>
    <row r="150" spans="2:28" x14ac:dyDescent="0.25">
      <c r="B150" s="53"/>
      <c r="C150" s="59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53"/>
      <c r="Z150" s="53"/>
      <c r="AA150" s="53"/>
      <c r="AB150" s="53"/>
    </row>
    <row r="151" spans="2:28" x14ac:dyDescent="0.25">
      <c r="B151" s="53"/>
      <c r="C151" s="59"/>
      <c r="D151" s="53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2"/>
      <c r="V151" s="62"/>
      <c r="W151" s="63"/>
      <c r="X151" s="62"/>
      <c r="Y151" s="53"/>
      <c r="Z151" s="53"/>
      <c r="AA151" s="53"/>
      <c r="AB151" s="53"/>
    </row>
    <row r="152" spans="2:28" x14ac:dyDescent="0.25">
      <c r="B152" s="53"/>
      <c r="C152" s="68"/>
      <c r="D152" s="62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2"/>
      <c r="V152" s="62"/>
      <c r="W152" s="63"/>
      <c r="X152" s="62"/>
    </row>
    <row r="153" spans="2:28" x14ac:dyDescent="0.25">
      <c r="B153" s="69"/>
      <c r="C153" s="68"/>
      <c r="D153" s="62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2"/>
      <c r="V153" s="62"/>
      <c r="W153" s="63"/>
      <c r="X153" s="62"/>
    </row>
    <row r="154" spans="2:28" x14ac:dyDescent="0.25">
      <c r="C154" s="68"/>
      <c r="D154" s="62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7"/>
      <c r="V154" s="57"/>
      <c r="W154" s="58"/>
      <c r="X154" s="57"/>
    </row>
    <row r="155" spans="2:28" x14ac:dyDescent="0.25">
      <c r="C155" s="68"/>
      <c r="D155" s="62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7"/>
      <c r="V155" s="57"/>
      <c r="W155" s="58"/>
      <c r="X155" s="57"/>
    </row>
    <row r="156" spans="2:28" x14ac:dyDescent="0.25">
      <c r="C156" s="68"/>
      <c r="D156" s="62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7"/>
      <c r="V156" s="57"/>
      <c r="W156" s="58"/>
      <c r="X156" s="57"/>
    </row>
    <row r="157" spans="2:28" x14ac:dyDescent="0.25">
      <c r="C157" s="59"/>
      <c r="D157" s="53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7"/>
      <c r="V157" s="57"/>
      <c r="W157" s="58"/>
      <c r="X157" s="57"/>
    </row>
    <row r="158" spans="2:28" x14ac:dyDescent="0.25">
      <c r="C158" s="68"/>
      <c r="D158" s="53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7"/>
      <c r="V158" s="57"/>
      <c r="W158" s="58"/>
      <c r="X158" s="57"/>
    </row>
    <row r="159" spans="2:28" x14ac:dyDescent="0.25">
      <c r="C159" s="59"/>
      <c r="D159" s="53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3"/>
      <c r="V159" s="53"/>
      <c r="W159" s="58"/>
      <c r="X159" s="53"/>
    </row>
    <row r="160" spans="2:28" x14ac:dyDescent="0.25">
      <c r="C160" s="59"/>
      <c r="D160" s="53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7"/>
      <c r="V160" s="57"/>
      <c r="W160" s="58"/>
      <c r="X160" s="57"/>
    </row>
    <row r="161" spans="2:24" x14ac:dyDescent="0.25">
      <c r="B161" s="53"/>
      <c r="C161" s="59"/>
      <c r="D161" s="53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3"/>
      <c r="V161" s="53"/>
      <c r="W161" s="58"/>
      <c r="X161" s="53"/>
    </row>
    <row r="162" spans="2:24" x14ac:dyDescent="0.25">
      <c r="B162" s="53"/>
      <c r="C162" s="59"/>
      <c r="D162" s="53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3"/>
      <c r="V162" s="53"/>
      <c r="W162" s="58"/>
      <c r="X162" s="53"/>
    </row>
    <row r="163" spans="2:24" x14ac:dyDescent="0.25">
      <c r="B163" s="53"/>
      <c r="C163" s="59"/>
      <c r="D163" s="53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70"/>
      <c r="V163" s="70"/>
      <c r="W163" s="58"/>
      <c r="X163" s="70"/>
    </row>
    <row r="164" spans="2:24" x14ac:dyDescent="0.25">
      <c r="B164" s="53"/>
      <c r="C164" s="59"/>
      <c r="D164" s="53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71"/>
      <c r="V164" s="71"/>
      <c r="W164" s="58"/>
      <c r="X164" s="71"/>
    </row>
    <row r="165" spans="2:24" x14ac:dyDescent="0.25">
      <c r="C165" s="59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3"/>
      <c r="V165" s="53"/>
      <c r="W165" s="58"/>
      <c r="X165" s="53"/>
    </row>
    <row r="166" spans="2:24" x14ac:dyDescent="0.25">
      <c r="C166" s="59"/>
      <c r="D166" s="53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3"/>
      <c r="V166" s="53"/>
      <c r="W166" s="58"/>
      <c r="X166" s="53"/>
    </row>
    <row r="167" spans="2:24" x14ac:dyDescent="0.25">
      <c r="C167" s="59"/>
      <c r="D167" s="53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3"/>
      <c r="V167" s="53"/>
      <c r="W167" s="58"/>
      <c r="X167" s="53"/>
    </row>
    <row r="168" spans="2:24" x14ac:dyDescent="0.25">
      <c r="C168" s="59"/>
      <c r="D168" s="53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3"/>
      <c r="V168" s="53"/>
      <c r="W168" s="58"/>
      <c r="X168" s="53"/>
    </row>
    <row r="169" spans="2:24" x14ac:dyDescent="0.25">
      <c r="C169" s="59"/>
      <c r="D169" s="53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3"/>
      <c r="V169" s="53"/>
      <c r="W169" s="58"/>
      <c r="X169" s="53"/>
    </row>
    <row r="170" spans="2:24" x14ac:dyDescent="0.25">
      <c r="C170" s="59"/>
      <c r="D170" s="53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3"/>
      <c r="V170" s="53"/>
      <c r="W170" s="58"/>
      <c r="X170" s="53"/>
    </row>
    <row r="171" spans="2:24" x14ac:dyDescent="0.25">
      <c r="C171" s="59"/>
      <c r="D171" s="53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3"/>
      <c r="V171" s="53"/>
      <c r="W171" s="58"/>
      <c r="X171" s="53"/>
    </row>
    <row r="172" spans="2:24" x14ac:dyDescent="0.25">
      <c r="C172" s="59"/>
      <c r="D172" s="53"/>
      <c r="E172" s="54"/>
      <c r="F172" s="54"/>
      <c r="G172" s="54"/>
      <c r="H172" s="54"/>
      <c r="I172" s="54"/>
      <c r="J172" s="54"/>
      <c r="K172" s="54"/>
      <c r="L172" s="54">
        <v>3003000</v>
      </c>
      <c r="M172" s="54"/>
      <c r="N172" s="54"/>
      <c r="O172" s="54"/>
      <c r="P172" s="54"/>
      <c r="Q172" s="54"/>
      <c r="R172" s="54"/>
      <c r="S172" s="54"/>
      <c r="T172" s="54"/>
      <c r="U172" s="53"/>
      <c r="V172" s="53"/>
      <c r="W172" s="58"/>
      <c r="X172" s="53"/>
    </row>
    <row r="173" spans="2:24" x14ac:dyDescent="0.25">
      <c r="C173" s="68"/>
      <c r="D173" s="53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3"/>
      <c r="V173" s="53"/>
      <c r="W173" s="58"/>
      <c r="X173" s="53"/>
    </row>
    <row r="174" spans="2:24" x14ac:dyDescent="0.25">
      <c r="C174" s="68"/>
      <c r="D174" s="53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3"/>
      <c r="V174" s="53"/>
      <c r="W174" s="58"/>
      <c r="X174" s="53"/>
    </row>
    <row r="175" spans="2:24" x14ac:dyDescent="0.25">
      <c r="C175" s="68"/>
      <c r="D175" s="53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3"/>
      <c r="V175" s="53"/>
      <c r="W175" s="58"/>
      <c r="X175" s="53"/>
    </row>
    <row r="176" spans="2:24" x14ac:dyDescent="0.25">
      <c r="C176" s="68"/>
      <c r="D176" s="53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3"/>
      <c r="V176" s="53"/>
      <c r="W176" s="58"/>
      <c r="X176" s="53"/>
    </row>
    <row r="177" spans="3:24" x14ac:dyDescent="0.25">
      <c r="C177" s="59">
        <v>42614840</v>
      </c>
      <c r="D177" s="53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>
        <v>412608</v>
      </c>
      <c r="U177" s="53"/>
      <c r="V177" s="53"/>
      <c r="W177" s="58"/>
      <c r="X177" s="53"/>
    </row>
    <row r="178" spans="3:24" x14ac:dyDescent="0.25">
      <c r="C178" s="59">
        <v>9675182</v>
      </c>
      <c r="D178" s="53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>
        <v>1880000</v>
      </c>
      <c r="U178" s="53"/>
      <c r="V178" s="53"/>
      <c r="W178" s="58"/>
      <c r="X178" s="53"/>
    </row>
    <row r="179" spans="3:24" x14ac:dyDescent="0.25">
      <c r="C179" s="59">
        <v>17903600</v>
      </c>
      <c r="D179" s="53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3"/>
      <c r="V179" s="53"/>
      <c r="W179" s="58"/>
      <c r="X179" s="53"/>
    </row>
    <row r="180" spans="3:24" x14ac:dyDescent="0.25">
      <c r="C180" s="59">
        <f>SUM(C177:C179)</f>
        <v>70193622</v>
      </c>
      <c r="D180" s="53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3"/>
      <c r="V180" s="53"/>
      <c r="W180" s="58"/>
      <c r="X180" s="53"/>
    </row>
    <row r="181" spans="3:24" x14ac:dyDescent="0.25">
      <c r="C181" s="59">
        <v>400000</v>
      </c>
      <c r="D181" s="53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3"/>
      <c r="V181" s="53"/>
      <c r="W181" s="58"/>
      <c r="X181" s="53"/>
    </row>
    <row r="182" spans="3:24" x14ac:dyDescent="0.25">
      <c r="C182" s="59">
        <f>+C180+C181</f>
        <v>70593622</v>
      </c>
      <c r="D182" s="53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3"/>
      <c r="V182" s="53"/>
      <c r="W182" s="58"/>
      <c r="X182" s="53"/>
    </row>
    <row r="185" spans="3:24" x14ac:dyDescent="0.25">
      <c r="C185" s="52">
        <v>64000000</v>
      </c>
    </row>
    <row r="186" spans="3:24" x14ac:dyDescent="0.25">
      <c r="C186" s="52">
        <v>11000000</v>
      </c>
    </row>
    <row r="187" spans="3:24" x14ac:dyDescent="0.25">
      <c r="C187" s="52">
        <f>+C185+C186</f>
        <v>75000000</v>
      </c>
    </row>
    <row r="191" spans="3:24" x14ac:dyDescent="0.25">
      <c r="C191" s="52">
        <v>2745000</v>
      </c>
    </row>
    <row r="192" spans="3:24" x14ac:dyDescent="0.25">
      <c r="C192" s="52">
        <v>3185000</v>
      </c>
    </row>
    <row r="193" spans="3:3" x14ac:dyDescent="0.25">
      <c r="C193" s="52">
        <v>1080000</v>
      </c>
    </row>
    <row r="194" spans="3:3" x14ac:dyDescent="0.25">
      <c r="C194" s="52">
        <v>4850100</v>
      </c>
    </row>
    <row r="195" spans="3:3" x14ac:dyDescent="0.25">
      <c r="C195" s="52">
        <v>5027500</v>
      </c>
    </row>
    <row r="196" spans="3:3" x14ac:dyDescent="0.25">
      <c r="C196" s="52">
        <v>4566000</v>
      </c>
    </row>
    <row r="197" spans="3:3" x14ac:dyDescent="0.25">
      <c r="C197" s="52">
        <v>1050000</v>
      </c>
    </row>
    <row r="198" spans="3:3" x14ac:dyDescent="0.25">
      <c r="C198" s="52">
        <v>3877333</v>
      </c>
    </row>
    <row r="199" spans="3:3" x14ac:dyDescent="0.25">
      <c r="C199" s="52">
        <v>6732440</v>
      </c>
    </row>
    <row r="200" spans="3:3" x14ac:dyDescent="0.25">
      <c r="C200" s="52">
        <v>3460000</v>
      </c>
    </row>
    <row r="201" spans="3:3" x14ac:dyDescent="0.25">
      <c r="C201" s="52">
        <v>588800</v>
      </c>
    </row>
    <row r="202" spans="3:3" x14ac:dyDescent="0.25">
      <c r="C202" s="52">
        <v>1868000</v>
      </c>
    </row>
    <row r="203" spans="3:3" x14ac:dyDescent="0.25">
      <c r="C203" s="52">
        <v>10313000</v>
      </c>
    </row>
    <row r="204" spans="3:3" x14ac:dyDescent="0.25">
      <c r="C204" s="52">
        <v>3443800</v>
      </c>
    </row>
    <row r="205" spans="3:3" x14ac:dyDescent="0.25">
      <c r="C205" s="52">
        <v>8136400</v>
      </c>
    </row>
    <row r="206" spans="3:3" x14ac:dyDescent="0.25">
      <c r="C206" s="52">
        <v>9675183</v>
      </c>
    </row>
    <row r="207" spans="3:3" x14ac:dyDescent="0.25">
      <c r="C207" s="52">
        <f>SUM(C191:C206)</f>
        <v>70598556</v>
      </c>
    </row>
  </sheetData>
  <mergeCells count="7">
    <mergeCell ref="D150:X150"/>
    <mergeCell ref="C1:U1"/>
    <mergeCell ref="E2:K2"/>
    <mergeCell ref="L2:T2"/>
    <mergeCell ref="A3:A48"/>
    <mergeCell ref="A49:A108"/>
    <mergeCell ref="E149:Q149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EBC9-D940-4457-9384-CE775F213D48}">
  <dimension ref="A1:AC204"/>
  <sheetViews>
    <sheetView workbookViewId="0">
      <selection activeCell="I3" sqref="I3"/>
    </sheetView>
  </sheetViews>
  <sheetFormatPr baseColWidth="10" defaultRowHeight="12" x14ac:dyDescent="0.25"/>
  <cols>
    <col min="1" max="1" width="10.42578125" style="10" customWidth="1"/>
    <col min="2" max="2" width="4.85546875" style="10" customWidth="1"/>
    <col min="3" max="3" width="32.28515625" style="24" customWidth="1"/>
    <col min="4" max="4" width="8.5703125" style="10" customWidth="1"/>
    <col min="5" max="5" width="10.85546875" style="27" customWidth="1"/>
    <col min="6" max="6" width="4.42578125" style="27" customWidth="1"/>
    <col min="7" max="7" width="13" style="27" customWidth="1"/>
    <col min="8" max="8" width="11.28515625" style="27" bestFit="1" customWidth="1"/>
    <col min="9" max="9" width="11.28515625" style="27" customWidth="1"/>
    <col min="10" max="11" width="12.28515625" style="27" bestFit="1" customWidth="1"/>
    <col min="12" max="12" width="13.28515625" style="27" bestFit="1" customWidth="1"/>
    <col min="13" max="14" width="12.28515625" style="27" bestFit="1" customWidth="1"/>
    <col min="15" max="17" width="11.28515625" style="27" bestFit="1" customWidth="1"/>
    <col min="18" max="18" width="12.28515625" style="27" bestFit="1" customWidth="1"/>
    <col min="19" max="19" width="11.28515625" style="27" bestFit="1" customWidth="1"/>
    <col min="20" max="20" width="15.7109375" style="27" bestFit="1" customWidth="1"/>
    <col min="21" max="21" width="12.28515625" style="27" bestFit="1" customWidth="1"/>
    <col min="22" max="22" width="17.85546875" style="10" bestFit="1" customWidth="1"/>
    <col min="23" max="23" width="1.7109375" style="10" customWidth="1"/>
    <col min="24" max="24" width="1.85546875" style="28" customWidth="1"/>
    <col min="25" max="25" width="27.28515625" style="10" customWidth="1"/>
    <col min="26" max="247" width="11.42578125" style="10"/>
    <col min="248" max="248" width="10.5703125" style="10" customWidth="1"/>
    <col min="249" max="249" width="4.85546875" style="10" customWidth="1"/>
    <col min="250" max="250" width="32.42578125" style="10" customWidth="1"/>
    <col min="251" max="251" width="9.85546875" style="10" customWidth="1"/>
    <col min="252" max="252" width="10.140625" style="10" customWidth="1"/>
    <col min="253" max="253" width="12.28515625" style="10" customWidth="1"/>
    <col min="254" max="254" width="15.42578125" style="10" customWidth="1"/>
    <col min="255" max="255" width="11.85546875" style="10" customWidth="1"/>
    <col min="256" max="256" width="13.28515625" style="10" customWidth="1"/>
    <col min="257" max="257" width="15.28515625" style="10" customWidth="1"/>
    <col min="258" max="258" width="11.85546875" style="10" customWidth="1"/>
    <col min="259" max="259" width="6.140625" style="10" customWidth="1"/>
    <col min="260" max="260" width="11.85546875" style="10" customWidth="1"/>
    <col min="261" max="261" width="9.42578125" style="10" customWidth="1"/>
    <col min="262" max="262" width="14.7109375" style="10" customWidth="1"/>
    <col min="263" max="263" width="11.5703125" style="10" customWidth="1"/>
    <col min="264" max="264" width="0.42578125" style="10" customWidth="1"/>
    <col min="265" max="265" width="10.5703125" style="10" bestFit="1" customWidth="1"/>
    <col min="266" max="266" width="12.28515625" style="10" customWidth="1"/>
    <col min="267" max="267" width="12.5703125" style="10" customWidth="1"/>
    <col min="268" max="268" width="10.5703125" style="10" customWidth="1"/>
    <col min="269" max="269" width="10.140625" style="10" customWidth="1"/>
    <col min="270" max="270" width="8.42578125" style="10" customWidth="1"/>
    <col min="271" max="271" width="18.85546875" style="10" customWidth="1"/>
    <col min="272" max="272" width="10.28515625" style="10" customWidth="1"/>
    <col min="273" max="273" width="11.42578125" style="10"/>
    <col min="274" max="274" width="12.140625" style="10" customWidth="1"/>
    <col min="275" max="275" width="10.5703125" style="10" customWidth="1"/>
    <col min="276" max="276" width="12.42578125" style="10" customWidth="1"/>
    <col min="277" max="277" width="15.140625" style="10" customWidth="1"/>
    <col min="278" max="278" width="13.5703125" style="10" customWidth="1"/>
    <col min="279" max="279" width="13.140625" style="10" customWidth="1"/>
    <col min="280" max="280" width="15.7109375" style="10" customWidth="1"/>
    <col min="281" max="281" width="37.5703125" style="10" customWidth="1"/>
    <col min="282" max="503" width="11.42578125" style="10"/>
    <col min="504" max="504" width="10.5703125" style="10" customWidth="1"/>
    <col min="505" max="505" width="4.85546875" style="10" customWidth="1"/>
    <col min="506" max="506" width="32.42578125" style="10" customWidth="1"/>
    <col min="507" max="507" width="9.85546875" style="10" customWidth="1"/>
    <col min="508" max="508" width="10.140625" style="10" customWidth="1"/>
    <col min="509" max="509" width="12.28515625" style="10" customWidth="1"/>
    <col min="510" max="510" width="15.42578125" style="10" customWidth="1"/>
    <col min="511" max="511" width="11.85546875" style="10" customWidth="1"/>
    <col min="512" max="512" width="13.28515625" style="10" customWidth="1"/>
    <col min="513" max="513" width="15.28515625" style="10" customWidth="1"/>
    <col min="514" max="514" width="11.85546875" style="10" customWidth="1"/>
    <col min="515" max="515" width="6.140625" style="10" customWidth="1"/>
    <col min="516" max="516" width="11.85546875" style="10" customWidth="1"/>
    <col min="517" max="517" width="9.42578125" style="10" customWidth="1"/>
    <col min="518" max="518" width="14.7109375" style="10" customWidth="1"/>
    <col min="519" max="519" width="11.5703125" style="10" customWidth="1"/>
    <col min="520" max="520" width="0.42578125" style="10" customWidth="1"/>
    <col min="521" max="521" width="10.5703125" style="10" bestFit="1" customWidth="1"/>
    <col min="522" max="522" width="12.28515625" style="10" customWidth="1"/>
    <col min="523" max="523" width="12.5703125" style="10" customWidth="1"/>
    <col min="524" max="524" width="10.5703125" style="10" customWidth="1"/>
    <col min="525" max="525" width="10.140625" style="10" customWidth="1"/>
    <col min="526" max="526" width="8.42578125" style="10" customWidth="1"/>
    <col min="527" max="527" width="18.85546875" style="10" customWidth="1"/>
    <col min="528" max="528" width="10.28515625" style="10" customWidth="1"/>
    <col min="529" max="529" width="11.42578125" style="10"/>
    <col min="530" max="530" width="12.140625" style="10" customWidth="1"/>
    <col min="531" max="531" width="10.5703125" style="10" customWidth="1"/>
    <col min="532" max="532" width="12.42578125" style="10" customWidth="1"/>
    <col min="533" max="533" width="15.140625" style="10" customWidth="1"/>
    <col min="534" max="534" width="13.5703125" style="10" customWidth="1"/>
    <col min="535" max="535" width="13.140625" style="10" customWidth="1"/>
    <col min="536" max="536" width="15.7109375" style="10" customWidth="1"/>
    <col min="537" max="537" width="37.5703125" style="10" customWidth="1"/>
    <col min="538" max="759" width="11.42578125" style="10"/>
    <col min="760" max="760" width="10.5703125" style="10" customWidth="1"/>
    <col min="761" max="761" width="4.85546875" style="10" customWidth="1"/>
    <col min="762" max="762" width="32.42578125" style="10" customWidth="1"/>
    <col min="763" max="763" width="9.85546875" style="10" customWidth="1"/>
    <col min="764" max="764" width="10.140625" style="10" customWidth="1"/>
    <col min="765" max="765" width="12.28515625" style="10" customWidth="1"/>
    <col min="766" max="766" width="15.42578125" style="10" customWidth="1"/>
    <col min="767" max="767" width="11.85546875" style="10" customWidth="1"/>
    <col min="768" max="768" width="13.28515625" style="10" customWidth="1"/>
    <col min="769" max="769" width="15.28515625" style="10" customWidth="1"/>
    <col min="770" max="770" width="11.85546875" style="10" customWidth="1"/>
    <col min="771" max="771" width="6.140625" style="10" customWidth="1"/>
    <col min="772" max="772" width="11.85546875" style="10" customWidth="1"/>
    <col min="773" max="773" width="9.42578125" style="10" customWidth="1"/>
    <col min="774" max="774" width="14.7109375" style="10" customWidth="1"/>
    <col min="775" max="775" width="11.5703125" style="10" customWidth="1"/>
    <col min="776" max="776" width="0.42578125" style="10" customWidth="1"/>
    <col min="777" max="777" width="10.5703125" style="10" bestFit="1" customWidth="1"/>
    <col min="778" max="778" width="12.28515625" style="10" customWidth="1"/>
    <col min="779" max="779" width="12.5703125" style="10" customWidth="1"/>
    <col min="780" max="780" width="10.5703125" style="10" customWidth="1"/>
    <col min="781" max="781" width="10.140625" style="10" customWidth="1"/>
    <col min="782" max="782" width="8.42578125" style="10" customWidth="1"/>
    <col min="783" max="783" width="18.85546875" style="10" customWidth="1"/>
    <col min="784" max="784" width="10.28515625" style="10" customWidth="1"/>
    <col min="785" max="785" width="11.42578125" style="10"/>
    <col min="786" max="786" width="12.140625" style="10" customWidth="1"/>
    <col min="787" max="787" width="10.5703125" style="10" customWidth="1"/>
    <col min="788" max="788" width="12.42578125" style="10" customWidth="1"/>
    <col min="789" max="789" width="15.140625" style="10" customWidth="1"/>
    <col min="790" max="790" width="13.5703125" style="10" customWidth="1"/>
    <col min="791" max="791" width="13.140625" style="10" customWidth="1"/>
    <col min="792" max="792" width="15.7109375" style="10" customWidth="1"/>
    <col min="793" max="793" width="37.5703125" style="10" customWidth="1"/>
    <col min="794" max="1015" width="11.42578125" style="10"/>
    <col min="1016" max="1016" width="10.5703125" style="10" customWidth="1"/>
    <col min="1017" max="1017" width="4.85546875" style="10" customWidth="1"/>
    <col min="1018" max="1018" width="32.42578125" style="10" customWidth="1"/>
    <col min="1019" max="1019" width="9.85546875" style="10" customWidth="1"/>
    <col min="1020" max="1020" width="10.140625" style="10" customWidth="1"/>
    <col min="1021" max="1021" width="12.28515625" style="10" customWidth="1"/>
    <col min="1022" max="1022" width="15.42578125" style="10" customWidth="1"/>
    <col min="1023" max="1023" width="11.85546875" style="10" customWidth="1"/>
    <col min="1024" max="1024" width="13.28515625" style="10" customWidth="1"/>
    <col min="1025" max="1025" width="15.28515625" style="10" customWidth="1"/>
    <col min="1026" max="1026" width="11.85546875" style="10" customWidth="1"/>
    <col min="1027" max="1027" width="6.140625" style="10" customWidth="1"/>
    <col min="1028" max="1028" width="11.85546875" style="10" customWidth="1"/>
    <col min="1029" max="1029" width="9.42578125" style="10" customWidth="1"/>
    <col min="1030" max="1030" width="14.7109375" style="10" customWidth="1"/>
    <col min="1031" max="1031" width="11.5703125" style="10" customWidth="1"/>
    <col min="1032" max="1032" width="0.42578125" style="10" customWidth="1"/>
    <col min="1033" max="1033" width="10.5703125" style="10" bestFit="1" customWidth="1"/>
    <col min="1034" max="1034" width="12.28515625" style="10" customWidth="1"/>
    <col min="1035" max="1035" width="12.5703125" style="10" customWidth="1"/>
    <col min="1036" max="1036" width="10.5703125" style="10" customWidth="1"/>
    <col min="1037" max="1037" width="10.140625" style="10" customWidth="1"/>
    <col min="1038" max="1038" width="8.42578125" style="10" customWidth="1"/>
    <col min="1039" max="1039" width="18.85546875" style="10" customWidth="1"/>
    <col min="1040" max="1040" width="10.28515625" style="10" customWidth="1"/>
    <col min="1041" max="1041" width="11.42578125" style="10"/>
    <col min="1042" max="1042" width="12.140625" style="10" customWidth="1"/>
    <col min="1043" max="1043" width="10.5703125" style="10" customWidth="1"/>
    <col min="1044" max="1044" width="12.42578125" style="10" customWidth="1"/>
    <col min="1045" max="1045" width="15.140625" style="10" customWidth="1"/>
    <col min="1046" max="1046" width="13.5703125" style="10" customWidth="1"/>
    <col min="1047" max="1047" width="13.140625" style="10" customWidth="1"/>
    <col min="1048" max="1048" width="15.7109375" style="10" customWidth="1"/>
    <col min="1049" max="1049" width="37.5703125" style="10" customWidth="1"/>
    <col min="1050" max="1271" width="11.42578125" style="10"/>
    <col min="1272" max="1272" width="10.5703125" style="10" customWidth="1"/>
    <col min="1273" max="1273" width="4.85546875" style="10" customWidth="1"/>
    <col min="1274" max="1274" width="32.42578125" style="10" customWidth="1"/>
    <col min="1275" max="1275" width="9.85546875" style="10" customWidth="1"/>
    <col min="1276" max="1276" width="10.140625" style="10" customWidth="1"/>
    <col min="1277" max="1277" width="12.28515625" style="10" customWidth="1"/>
    <col min="1278" max="1278" width="15.42578125" style="10" customWidth="1"/>
    <col min="1279" max="1279" width="11.85546875" style="10" customWidth="1"/>
    <col min="1280" max="1280" width="13.28515625" style="10" customWidth="1"/>
    <col min="1281" max="1281" width="15.28515625" style="10" customWidth="1"/>
    <col min="1282" max="1282" width="11.85546875" style="10" customWidth="1"/>
    <col min="1283" max="1283" width="6.140625" style="10" customWidth="1"/>
    <col min="1284" max="1284" width="11.85546875" style="10" customWidth="1"/>
    <col min="1285" max="1285" width="9.42578125" style="10" customWidth="1"/>
    <col min="1286" max="1286" width="14.7109375" style="10" customWidth="1"/>
    <col min="1287" max="1287" width="11.5703125" style="10" customWidth="1"/>
    <col min="1288" max="1288" width="0.42578125" style="10" customWidth="1"/>
    <col min="1289" max="1289" width="10.5703125" style="10" bestFit="1" customWidth="1"/>
    <col min="1290" max="1290" width="12.28515625" style="10" customWidth="1"/>
    <col min="1291" max="1291" width="12.5703125" style="10" customWidth="1"/>
    <col min="1292" max="1292" width="10.5703125" style="10" customWidth="1"/>
    <col min="1293" max="1293" width="10.140625" style="10" customWidth="1"/>
    <col min="1294" max="1294" width="8.42578125" style="10" customWidth="1"/>
    <col min="1295" max="1295" width="18.85546875" style="10" customWidth="1"/>
    <col min="1296" max="1296" width="10.28515625" style="10" customWidth="1"/>
    <col min="1297" max="1297" width="11.42578125" style="10"/>
    <col min="1298" max="1298" width="12.140625" style="10" customWidth="1"/>
    <col min="1299" max="1299" width="10.5703125" style="10" customWidth="1"/>
    <col min="1300" max="1300" width="12.42578125" style="10" customWidth="1"/>
    <col min="1301" max="1301" width="15.140625" style="10" customWidth="1"/>
    <col min="1302" max="1302" width="13.5703125" style="10" customWidth="1"/>
    <col min="1303" max="1303" width="13.140625" style="10" customWidth="1"/>
    <col min="1304" max="1304" width="15.7109375" style="10" customWidth="1"/>
    <col min="1305" max="1305" width="37.5703125" style="10" customWidth="1"/>
    <col min="1306" max="1527" width="11.42578125" style="10"/>
    <col min="1528" max="1528" width="10.5703125" style="10" customWidth="1"/>
    <col min="1529" max="1529" width="4.85546875" style="10" customWidth="1"/>
    <col min="1530" max="1530" width="32.42578125" style="10" customWidth="1"/>
    <col min="1531" max="1531" width="9.85546875" style="10" customWidth="1"/>
    <col min="1532" max="1532" width="10.140625" style="10" customWidth="1"/>
    <col min="1533" max="1533" width="12.28515625" style="10" customWidth="1"/>
    <col min="1534" max="1534" width="15.42578125" style="10" customWidth="1"/>
    <col min="1535" max="1535" width="11.85546875" style="10" customWidth="1"/>
    <col min="1536" max="1536" width="13.28515625" style="10" customWidth="1"/>
    <col min="1537" max="1537" width="15.28515625" style="10" customWidth="1"/>
    <col min="1538" max="1538" width="11.85546875" style="10" customWidth="1"/>
    <col min="1539" max="1539" width="6.140625" style="10" customWidth="1"/>
    <col min="1540" max="1540" width="11.85546875" style="10" customWidth="1"/>
    <col min="1541" max="1541" width="9.42578125" style="10" customWidth="1"/>
    <col min="1542" max="1542" width="14.7109375" style="10" customWidth="1"/>
    <col min="1543" max="1543" width="11.5703125" style="10" customWidth="1"/>
    <col min="1544" max="1544" width="0.42578125" style="10" customWidth="1"/>
    <col min="1545" max="1545" width="10.5703125" style="10" bestFit="1" customWidth="1"/>
    <col min="1546" max="1546" width="12.28515625" style="10" customWidth="1"/>
    <col min="1547" max="1547" width="12.5703125" style="10" customWidth="1"/>
    <col min="1548" max="1548" width="10.5703125" style="10" customWidth="1"/>
    <col min="1549" max="1549" width="10.140625" style="10" customWidth="1"/>
    <col min="1550" max="1550" width="8.42578125" style="10" customWidth="1"/>
    <col min="1551" max="1551" width="18.85546875" style="10" customWidth="1"/>
    <col min="1552" max="1552" width="10.28515625" style="10" customWidth="1"/>
    <col min="1553" max="1553" width="11.42578125" style="10"/>
    <col min="1554" max="1554" width="12.140625" style="10" customWidth="1"/>
    <col min="1555" max="1555" width="10.5703125" style="10" customWidth="1"/>
    <col min="1556" max="1556" width="12.42578125" style="10" customWidth="1"/>
    <col min="1557" max="1557" width="15.140625" style="10" customWidth="1"/>
    <col min="1558" max="1558" width="13.5703125" style="10" customWidth="1"/>
    <col min="1559" max="1559" width="13.140625" style="10" customWidth="1"/>
    <col min="1560" max="1560" width="15.7109375" style="10" customWidth="1"/>
    <col min="1561" max="1561" width="37.5703125" style="10" customWidth="1"/>
    <col min="1562" max="1783" width="11.42578125" style="10"/>
    <col min="1784" max="1784" width="10.5703125" style="10" customWidth="1"/>
    <col min="1785" max="1785" width="4.85546875" style="10" customWidth="1"/>
    <col min="1786" max="1786" width="32.42578125" style="10" customWidth="1"/>
    <col min="1787" max="1787" width="9.85546875" style="10" customWidth="1"/>
    <col min="1788" max="1788" width="10.140625" style="10" customWidth="1"/>
    <col min="1789" max="1789" width="12.28515625" style="10" customWidth="1"/>
    <col min="1790" max="1790" width="15.42578125" style="10" customWidth="1"/>
    <col min="1791" max="1791" width="11.85546875" style="10" customWidth="1"/>
    <col min="1792" max="1792" width="13.28515625" style="10" customWidth="1"/>
    <col min="1793" max="1793" width="15.28515625" style="10" customWidth="1"/>
    <col min="1794" max="1794" width="11.85546875" style="10" customWidth="1"/>
    <col min="1795" max="1795" width="6.140625" style="10" customWidth="1"/>
    <col min="1796" max="1796" width="11.85546875" style="10" customWidth="1"/>
    <col min="1797" max="1797" width="9.42578125" style="10" customWidth="1"/>
    <col min="1798" max="1798" width="14.7109375" style="10" customWidth="1"/>
    <col min="1799" max="1799" width="11.5703125" style="10" customWidth="1"/>
    <col min="1800" max="1800" width="0.42578125" style="10" customWidth="1"/>
    <col min="1801" max="1801" width="10.5703125" style="10" bestFit="1" customWidth="1"/>
    <col min="1802" max="1802" width="12.28515625" style="10" customWidth="1"/>
    <col min="1803" max="1803" width="12.5703125" style="10" customWidth="1"/>
    <col min="1804" max="1804" width="10.5703125" style="10" customWidth="1"/>
    <col min="1805" max="1805" width="10.140625" style="10" customWidth="1"/>
    <col min="1806" max="1806" width="8.42578125" style="10" customWidth="1"/>
    <col min="1807" max="1807" width="18.85546875" style="10" customWidth="1"/>
    <col min="1808" max="1808" width="10.28515625" style="10" customWidth="1"/>
    <col min="1809" max="1809" width="11.42578125" style="10"/>
    <col min="1810" max="1810" width="12.140625" style="10" customWidth="1"/>
    <col min="1811" max="1811" width="10.5703125" style="10" customWidth="1"/>
    <col min="1812" max="1812" width="12.42578125" style="10" customWidth="1"/>
    <col min="1813" max="1813" width="15.140625" style="10" customWidth="1"/>
    <col min="1814" max="1814" width="13.5703125" style="10" customWidth="1"/>
    <col min="1815" max="1815" width="13.140625" style="10" customWidth="1"/>
    <col min="1816" max="1816" width="15.7109375" style="10" customWidth="1"/>
    <col min="1817" max="1817" width="37.5703125" style="10" customWidth="1"/>
    <col min="1818" max="2039" width="11.42578125" style="10"/>
    <col min="2040" max="2040" width="10.5703125" style="10" customWidth="1"/>
    <col min="2041" max="2041" width="4.85546875" style="10" customWidth="1"/>
    <col min="2042" max="2042" width="32.42578125" style="10" customWidth="1"/>
    <col min="2043" max="2043" width="9.85546875" style="10" customWidth="1"/>
    <col min="2044" max="2044" width="10.140625" style="10" customWidth="1"/>
    <col min="2045" max="2045" width="12.28515625" style="10" customWidth="1"/>
    <col min="2046" max="2046" width="15.42578125" style="10" customWidth="1"/>
    <col min="2047" max="2047" width="11.85546875" style="10" customWidth="1"/>
    <col min="2048" max="2048" width="13.28515625" style="10" customWidth="1"/>
    <col min="2049" max="2049" width="15.28515625" style="10" customWidth="1"/>
    <col min="2050" max="2050" width="11.85546875" style="10" customWidth="1"/>
    <col min="2051" max="2051" width="6.140625" style="10" customWidth="1"/>
    <col min="2052" max="2052" width="11.85546875" style="10" customWidth="1"/>
    <col min="2053" max="2053" width="9.42578125" style="10" customWidth="1"/>
    <col min="2054" max="2054" width="14.7109375" style="10" customWidth="1"/>
    <col min="2055" max="2055" width="11.5703125" style="10" customWidth="1"/>
    <col min="2056" max="2056" width="0.42578125" style="10" customWidth="1"/>
    <col min="2057" max="2057" width="10.5703125" style="10" bestFit="1" customWidth="1"/>
    <col min="2058" max="2058" width="12.28515625" style="10" customWidth="1"/>
    <col min="2059" max="2059" width="12.5703125" style="10" customWidth="1"/>
    <col min="2060" max="2060" width="10.5703125" style="10" customWidth="1"/>
    <col min="2061" max="2061" width="10.140625" style="10" customWidth="1"/>
    <col min="2062" max="2062" width="8.42578125" style="10" customWidth="1"/>
    <col min="2063" max="2063" width="18.85546875" style="10" customWidth="1"/>
    <col min="2064" max="2064" width="10.28515625" style="10" customWidth="1"/>
    <col min="2065" max="2065" width="11.42578125" style="10"/>
    <col min="2066" max="2066" width="12.140625" style="10" customWidth="1"/>
    <col min="2067" max="2067" width="10.5703125" style="10" customWidth="1"/>
    <col min="2068" max="2068" width="12.42578125" style="10" customWidth="1"/>
    <col min="2069" max="2069" width="15.140625" style="10" customWidth="1"/>
    <col min="2070" max="2070" width="13.5703125" style="10" customWidth="1"/>
    <col min="2071" max="2071" width="13.140625" style="10" customWidth="1"/>
    <col min="2072" max="2072" width="15.7109375" style="10" customWidth="1"/>
    <col min="2073" max="2073" width="37.5703125" style="10" customWidth="1"/>
    <col min="2074" max="2295" width="11.42578125" style="10"/>
    <col min="2296" max="2296" width="10.5703125" style="10" customWidth="1"/>
    <col min="2297" max="2297" width="4.85546875" style="10" customWidth="1"/>
    <col min="2298" max="2298" width="32.42578125" style="10" customWidth="1"/>
    <col min="2299" max="2299" width="9.85546875" style="10" customWidth="1"/>
    <col min="2300" max="2300" width="10.140625" style="10" customWidth="1"/>
    <col min="2301" max="2301" width="12.28515625" style="10" customWidth="1"/>
    <col min="2302" max="2302" width="15.42578125" style="10" customWidth="1"/>
    <col min="2303" max="2303" width="11.85546875" style="10" customWidth="1"/>
    <col min="2304" max="2304" width="13.28515625" style="10" customWidth="1"/>
    <col min="2305" max="2305" width="15.28515625" style="10" customWidth="1"/>
    <col min="2306" max="2306" width="11.85546875" style="10" customWidth="1"/>
    <col min="2307" max="2307" width="6.140625" style="10" customWidth="1"/>
    <col min="2308" max="2308" width="11.85546875" style="10" customWidth="1"/>
    <col min="2309" max="2309" width="9.42578125" style="10" customWidth="1"/>
    <col min="2310" max="2310" width="14.7109375" style="10" customWidth="1"/>
    <col min="2311" max="2311" width="11.5703125" style="10" customWidth="1"/>
    <col min="2312" max="2312" width="0.42578125" style="10" customWidth="1"/>
    <col min="2313" max="2313" width="10.5703125" style="10" bestFit="1" customWidth="1"/>
    <col min="2314" max="2314" width="12.28515625" style="10" customWidth="1"/>
    <col min="2315" max="2315" width="12.5703125" style="10" customWidth="1"/>
    <col min="2316" max="2316" width="10.5703125" style="10" customWidth="1"/>
    <col min="2317" max="2317" width="10.140625" style="10" customWidth="1"/>
    <col min="2318" max="2318" width="8.42578125" style="10" customWidth="1"/>
    <col min="2319" max="2319" width="18.85546875" style="10" customWidth="1"/>
    <col min="2320" max="2320" width="10.28515625" style="10" customWidth="1"/>
    <col min="2321" max="2321" width="11.42578125" style="10"/>
    <col min="2322" max="2322" width="12.140625" style="10" customWidth="1"/>
    <col min="2323" max="2323" width="10.5703125" style="10" customWidth="1"/>
    <col min="2324" max="2324" width="12.42578125" style="10" customWidth="1"/>
    <col min="2325" max="2325" width="15.140625" style="10" customWidth="1"/>
    <col min="2326" max="2326" width="13.5703125" style="10" customWidth="1"/>
    <col min="2327" max="2327" width="13.140625" style="10" customWidth="1"/>
    <col min="2328" max="2328" width="15.7109375" style="10" customWidth="1"/>
    <col min="2329" max="2329" width="37.5703125" style="10" customWidth="1"/>
    <col min="2330" max="2551" width="11.42578125" style="10"/>
    <col min="2552" max="2552" width="10.5703125" style="10" customWidth="1"/>
    <col min="2553" max="2553" width="4.85546875" style="10" customWidth="1"/>
    <col min="2554" max="2554" width="32.42578125" style="10" customWidth="1"/>
    <col min="2555" max="2555" width="9.85546875" style="10" customWidth="1"/>
    <col min="2556" max="2556" width="10.140625" style="10" customWidth="1"/>
    <col min="2557" max="2557" width="12.28515625" style="10" customWidth="1"/>
    <col min="2558" max="2558" width="15.42578125" style="10" customWidth="1"/>
    <col min="2559" max="2559" width="11.85546875" style="10" customWidth="1"/>
    <col min="2560" max="2560" width="13.28515625" style="10" customWidth="1"/>
    <col min="2561" max="2561" width="15.28515625" style="10" customWidth="1"/>
    <col min="2562" max="2562" width="11.85546875" style="10" customWidth="1"/>
    <col min="2563" max="2563" width="6.140625" style="10" customWidth="1"/>
    <col min="2564" max="2564" width="11.85546875" style="10" customWidth="1"/>
    <col min="2565" max="2565" width="9.42578125" style="10" customWidth="1"/>
    <col min="2566" max="2566" width="14.7109375" style="10" customWidth="1"/>
    <col min="2567" max="2567" width="11.5703125" style="10" customWidth="1"/>
    <col min="2568" max="2568" width="0.42578125" style="10" customWidth="1"/>
    <col min="2569" max="2569" width="10.5703125" style="10" bestFit="1" customWidth="1"/>
    <col min="2570" max="2570" width="12.28515625" style="10" customWidth="1"/>
    <col min="2571" max="2571" width="12.5703125" style="10" customWidth="1"/>
    <col min="2572" max="2572" width="10.5703125" style="10" customWidth="1"/>
    <col min="2573" max="2573" width="10.140625" style="10" customWidth="1"/>
    <col min="2574" max="2574" width="8.42578125" style="10" customWidth="1"/>
    <col min="2575" max="2575" width="18.85546875" style="10" customWidth="1"/>
    <col min="2576" max="2576" width="10.28515625" style="10" customWidth="1"/>
    <col min="2577" max="2577" width="11.42578125" style="10"/>
    <col min="2578" max="2578" width="12.140625" style="10" customWidth="1"/>
    <col min="2579" max="2579" width="10.5703125" style="10" customWidth="1"/>
    <col min="2580" max="2580" width="12.42578125" style="10" customWidth="1"/>
    <col min="2581" max="2581" width="15.140625" style="10" customWidth="1"/>
    <col min="2582" max="2582" width="13.5703125" style="10" customWidth="1"/>
    <col min="2583" max="2583" width="13.140625" style="10" customWidth="1"/>
    <col min="2584" max="2584" width="15.7109375" style="10" customWidth="1"/>
    <col min="2585" max="2585" width="37.5703125" style="10" customWidth="1"/>
    <col min="2586" max="2807" width="11.42578125" style="10"/>
    <col min="2808" max="2808" width="10.5703125" style="10" customWidth="1"/>
    <col min="2809" max="2809" width="4.85546875" style="10" customWidth="1"/>
    <col min="2810" max="2810" width="32.42578125" style="10" customWidth="1"/>
    <col min="2811" max="2811" width="9.85546875" style="10" customWidth="1"/>
    <col min="2812" max="2812" width="10.140625" style="10" customWidth="1"/>
    <col min="2813" max="2813" width="12.28515625" style="10" customWidth="1"/>
    <col min="2814" max="2814" width="15.42578125" style="10" customWidth="1"/>
    <col min="2815" max="2815" width="11.85546875" style="10" customWidth="1"/>
    <col min="2816" max="2816" width="13.28515625" style="10" customWidth="1"/>
    <col min="2817" max="2817" width="15.28515625" style="10" customWidth="1"/>
    <col min="2818" max="2818" width="11.85546875" style="10" customWidth="1"/>
    <col min="2819" max="2819" width="6.140625" style="10" customWidth="1"/>
    <col min="2820" max="2820" width="11.85546875" style="10" customWidth="1"/>
    <col min="2821" max="2821" width="9.42578125" style="10" customWidth="1"/>
    <col min="2822" max="2822" width="14.7109375" style="10" customWidth="1"/>
    <col min="2823" max="2823" width="11.5703125" style="10" customWidth="1"/>
    <col min="2824" max="2824" width="0.42578125" style="10" customWidth="1"/>
    <col min="2825" max="2825" width="10.5703125" style="10" bestFit="1" customWidth="1"/>
    <col min="2826" max="2826" width="12.28515625" style="10" customWidth="1"/>
    <col min="2827" max="2827" width="12.5703125" style="10" customWidth="1"/>
    <col min="2828" max="2828" width="10.5703125" style="10" customWidth="1"/>
    <col min="2829" max="2829" width="10.140625" style="10" customWidth="1"/>
    <col min="2830" max="2830" width="8.42578125" style="10" customWidth="1"/>
    <col min="2831" max="2831" width="18.85546875" style="10" customWidth="1"/>
    <col min="2832" max="2832" width="10.28515625" style="10" customWidth="1"/>
    <col min="2833" max="2833" width="11.42578125" style="10"/>
    <col min="2834" max="2834" width="12.140625" style="10" customWidth="1"/>
    <col min="2835" max="2835" width="10.5703125" style="10" customWidth="1"/>
    <col min="2836" max="2836" width="12.42578125" style="10" customWidth="1"/>
    <col min="2837" max="2837" width="15.140625" style="10" customWidth="1"/>
    <col min="2838" max="2838" width="13.5703125" style="10" customWidth="1"/>
    <col min="2839" max="2839" width="13.140625" style="10" customWidth="1"/>
    <col min="2840" max="2840" width="15.7109375" style="10" customWidth="1"/>
    <col min="2841" max="2841" width="37.5703125" style="10" customWidth="1"/>
    <col min="2842" max="3063" width="11.42578125" style="10"/>
    <col min="3064" max="3064" width="10.5703125" style="10" customWidth="1"/>
    <col min="3065" max="3065" width="4.85546875" style="10" customWidth="1"/>
    <col min="3066" max="3066" width="32.42578125" style="10" customWidth="1"/>
    <col min="3067" max="3067" width="9.85546875" style="10" customWidth="1"/>
    <col min="3068" max="3068" width="10.140625" style="10" customWidth="1"/>
    <col min="3069" max="3069" width="12.28515625" style="10" customWidth="1"/>
    <col min="3070" max="3070" width="15.42578125" style="10" customWidth="1"/>
    <col min="3071" max="3071" width="11.85546875" style="10" customWidth="1"/>
    <col min="3072" max="3072" width="13.28515625" style="10" customWidth="1"/>
    <col min="3073" max="3073" width="15.28515625" style="10" customWidth="1"/>
    <col min="3074" max="3074" width="11.85546875" style="10" customWidth="1"/>
    <col min="3075" max="3075" width="6.140625" style="10" customWidth="1"/>
    <col min="3076" max="3076" width="11.85546875" style="10" customWidth="1"/>
    <col min="3077" max="3077" width="9.42578125" style="10" customWidth="1"/>
    <col min="3078" max="3078" width="14.7109375" style="10" customWidth="1"/>
    <col min="3079" max="3079" width="11.5703125" style="10" customWidth="1"/>
    <col min="3080" max="3080" width="0.42578125" style="10" customWidth="1"/>
    <col min="3081" max="3081" width="10.5703125" style="10" bestFit="1" customWidth="1"/>
    <col min="3082" max="3082" width="12.28515625" style="10" customWidth="1"/>
    <col min="3083" max="3083" width="12.5703125" style="10" customWidth="1"/>
    <col min="3084" max="3084" width="10.5703125" style="10" customWidth="1"/>
    <col min="3085" max="3085" width="10.140625" style="10" customWidth="1"/>
    <col min="3086" max="3086" width="8.42578125" style="10" customWidth="1"/>
    <col min="3087" max="3087" width="18.85546875" style="10" customWidth="1"/>
    <col min="3088" max="3088" width="10.28515625" style="10" customWidth="1"/>
    <col min="3089" max="3089" width="11.42578125" style="10"/>
    <col min="3090" max="3090" width="12.140625" style="10" customWidth="1"/>
    <col min="3091" max="3091" width="10.5703125" style="10" customWidth="1"/>
    <col min="3092" max="3092" width="12.42578125" style="10" customWidth="1"/>
    <col min="3093" max="3093" width="15.140625" style="10" customWidth="1"/>
    <col min="3094" max="3094" width="13.5703125" style="10" customWidth="1"/>
    <col min="3095" max="3095" width="13.140625" style="10" customWidth="1"/>
    <col min="3096" max="3096" width="15.7109375" style="10" customWidth="1"/>
    <col min="3097" max="3097" width="37.5703125" style="10" customWidth="1"/>
    <col min="3098" max="3319" width="11.42578125" style="10"/>
    <col min="3320" max="3320" width="10.5703125" style="10" customWidth="1"/>
    <col min="3321" max="3321" width="4.85546875" style="10" customWidth="1"/>
    <col min="3322" max="3322" width="32.42578125" style="10" customWidth="1"/>
    <col min="3323" max="3323" width="9.85546875" style="10" customWidth="1"/>
    <col min="3324" max="3324" width="10.140625" style="10" customWidth="1"/>
    <col min="3325" max="3325" width="12.28515625" style="10" customWidth="1"/>
    <col min="3326" max="3326" width="15.42578125" style="10" customWidth="1"/>
    <col min="3327" max="3327" width="11.85546875" style="10" customWidth="1"/>
    <col min="3328" max="3328" width="13.28515625" style="10" customWidth="1"/>
    <col min="3329" max="3329" width="15.28515625" style="10" customWidth="1"/>
    <col min="3330" max="3330" width="11.85546875" style="10" customWidth="1"/>
    <col min="3331" max="3331" width="6.140625" style="10" customWidth="1"/>
    <col min="3332" max="3332" width="11.85546875" style="10" customWidth="1"/>
    <col min="3333" max="3333" width="9.42578125" style="10" customWidth="1"/>
    <col min="3334" max="3334" width="14.7109375" style="10" customWidth="1"/>
    <col min="3335" max="3335" width="11.5703125" style="10" customWidth="1"/>
    <col min="3336" max="3336" width="0.42578125" style="10" customWidth="1"/>
    <col min="3337" max="3337" width="10.5703125" style="10" bestFit="1" customWidth="1"/>
    <col min="3338" max="3338" width="12.28515625" style="10" customWidth="1"/>
    <col min="3339" max="3339" width="12.5703125" style="10" customWidth="1"/>
    <col min="3340" max="3340" width="10.5703125" style="10" customWidth="1"/>
    <col min="3341" max="3341" width="10.140625" style="10" customWidth="1"/>
    <col min="3342" max="3342" width="8.42578125" style="10" customWidth="1"/>
    <col min="3343" max="3343" width="18.85546875" style="10" customWidth="1"/>
    <col min="3344" max="3344" width="10.28515625" style="10" customWidth="1"/>
    <col min="3345" max="3345" width="11.42578125" style="10"/>
    <col min="3346" max="3346" width="12.140625" style="10" customWidth="1"/>
    <col min="3347" max="3347" width="10.5703125" style="10" customWidth="1"/>
    <col min="3348" max="3348" width="12.42578125" style="10" customWidth="1"/>
    <col min="3349" max="3349" width="15.140625" style="10" customWidth="1"/>
    <col min="3350" max="3350" width="13.5703125" style="10" customWidth="1"/>
    <col min="3351" max="3351" width="13.140625" style="10" customWidth="1"/>
    <col min="3352" max="3352" width="15.7109375" style="10" customWidth="1"/>
    <col min="3353" max="3353" width="37.5703125" style="10" customWidth="1"/>
    <col min="3354" max="3575" width="11.42578125" style="10"/>
    <col min="3576" max="3576" width="10.5703125" style="10" customWidth="1"/>
    <col min="3577" max="3577" width="4.85546875" style="10" customWidth="1"/>
    <col min="3578" max="3578" width="32.42578125" style="10" customWidth="1"/>
    <col min="3579" max="3579" width="9.85546875" style="10" customWidth="1"/>
    <col min="3580" max="3580" width="10.140625" style="10" customWidth="1"/>
    <col min="3581" max="3581" width="12.28515625" style="10" customWidth="1"/>
    <col min="3582" max="3582" width="15.42578125" style="10" customWidth="1"/>
    <col min="3583" max="3583" width="11.85546875" style="10" customWidth="1"/>
    <col min="3584" max="3584" width="13.28515625" style="10" customWidth="1"/>
    <col min="3585" max="3585" width="15.28515625" style="10" customWidth="1"/>
    <col min="3586" max="3586" width="11.85546875" style="10" customWidth="1"/>
    <col min="3587" max="3587" width="6.140625" style="10" customWidth="1"/>
    <col min="3588" max="3588" width="11.85546875" style="10" customWidth="1"/>
    <col min="3589" max="3589" width="9.42578125" style="10" customWidth="1"/>
    <col min="3590" max="3590" width="14.7109375" style="10" customWidth="1"/>
    <col min="3591" max="3591" width="11.5703125" style="10" customWidth="1"/>
    <col min="3592" max="3592" width="0.42578125" style="10" customWidth="1"/>
    <col min="3593" max="3593" width="10.5703125" style="10" bestFit="1" customWidth="1"/>
    <col min="3594" max="3594" width="12.28515625" style="10" customWidth="1"/>
    <col min="3595" max="3595" width="12.5703125" style="10" customWidth="1"/>
    <col min="3596" max="3596" width="10.5703125" style="10" customWidth="1"/>
    <col min="3597" max="3597" width="10.140625" style="10" customWidth="1"/>
    <col min="3598" max="3598" width="8.42578125" style="10" customWidth="1"/>
    <col min="3599" max="3599" width="18.85546875" style="10" customWidth="1"/>
    <col min="3600" max="3600" width="10.28515625" style="10" customWidth="1"/>
    <col min="3601" max="3601" width="11.42578125" style="10"/>
    <col min="3602" max="3602" width="12.140625" style="10" customWidth="1"/>
    <col min="3603" max="3603" width="10.5703125" style="10" customWidth="1"/>
    <col min="3604" max="3604" width="12.42578125" style="10" customWidth="1"/>
    <col min="3605" max="3605" width="15.140625" style="10" customWidth="1"/>
    <col min="3606" max="3606" width="13.5703125" style="10" customWidth="1"/>
    <col min="3607" max="3607" width="13.140625" style="10" customWidth="1"/>
    <col min="3608" max="3608" width="15.7109375" style="10" customWidth="1"/>
    <col min="3609" max="3609" width="37.5703125" style="10" customWidth="1"/>
    <col min="3610" max="3831" width="11.42578125" style="10"/>
    <col min="3832" max="3832" width="10.5703125" style="10" customWidth="1"/>
    <col min="3833" max="3833" width="4.85546875" style="10" customWidth="1"/>
    <col min="3834" max="3834" width="32.42578125" style="10" customWidth="1"/>
    <col min="3835" max="3835" width="9.85546875" style="10" customWidth="1"/>
    <col min="3836" max="3836" width="10.140625" style="10" customWidth="1"/>
    <col min="3837" max="3837" width="12.28515625" style="10" customWidth="1"/>
    <col min="3838" max="3838" width="15.42578125" style="10" customWidth="1"/>
    <col min="3839" max="3839" width="11.85546875" style="10" customWidth="1"/>
    <col min="3840" max="3840" width="13.28515625" style="10" customWidth="1"/>
    <col min="3841" max="3841" width="15.28515625" style="10" customWidth="1"/>
    <col min="3842" max="3842" width="11.85546875" style="10" customWidth="1"/>
    <col min="3843" max="3843" width="6.140625" style="10" customWidth="1"/>
    <col min="3844" max="3844" width="11.85546875" style="10" customWidth="1"/>
    <col min="3845" max="3845" width="9.42578125" style="10" customWidth="1"/>
    <col min="3846" max="3846" width="14.7109375" style="10" customWidth="1"/>
    <col min="3847" max="3847" width="11.5703125" style="10" customWidth="1"/>
    <col min="3848" max="3848" width="0.42578125" style="10" customWidth="1"/>
    <col min="3849" max="3849" width="10.5703125" style="10" bestFit="1" customWidth="1"/>
    <col min="3850" max="3850" width="12.28515625" style="10" customWidth="1"/>
    <col min="3851" max="3851" width="12.5703125" style="10" customWidth="1"/>
    <col min="3852" max="3852" width="10.5703125" style="10" customWidth="1"/>
    <col min="3853" max="3853" width="10.140625" style="10" customWidth="1"/>
    <col min="3854" max="3854" width="8.42578125" style="10" customWidth="1"/>
    <col min="3855" max="3855" width="18.85546875" style="10" customWidth="1"/>
    <col min="3856" max="3856" width="10.28515625" style="10" customWidth="1"/>
    <col min="3857" max="3857" width="11.42578125" style="10"/>
    <col min="3858" max="3858" width="12.140625" style="10" customWidth="1"/>
    <col min="3859" max="3859" width="10.5703125" style="10" customWidth="1"/>
    <col min="3860" max="3860" width="12.42578125" style="10" customWidth="1"/>
    <col min="3861" max="3861" width="15.140625" style="10" customWidth="1"/>
    <col min="3862" max="3862" width="13.5703125" style="10" customWidth="1"/>
    <col min="3863" max="3863" width="13.140625" style="10" customWidth="1"/>
    <col min="3864" max="3864" width="15.7109375" style="10" customWidth="1"/>
    <col min="3865" max="3865" width="37.5703125" style="10" customWidth="1"/>
    <col min="3866" max="4087" width="11.42578125" style="10"/>
    <col min="4088" max="4088" width="10.5703125" style="10" customWidth="1"/>
    <col min="4089" max="4089" width="4.85546875" style="10" customWidth="1"/>
    <col min="4090" max="4090" width="32.42578125" style="10" customWidth="1"/>
    <col min="4091" max="4091" width="9.85546875" style="10" customWidth="1"/>
    <col min="4092" max="4092" width="10.140625" style="10" customWidth="1"/>
    <col min="4093" max="4093" width="12.28515625" style="10" customWidth="1"/>
    <col min="4094" max="4094" width="15.42578125" style="10" customWidth="1"/>
    <col min="4095" max="4095" width="11.85546875" style="10" customWidth="1"/>
    <col min="4096" max="4096" width="13.28515625" style="10" customWidth="1"/>
    <col min="4097" max="4097" width="15.28515625" style="10" customWidth="1"/>
    <col min="4098" max="4098" width="11.85546875" style="10" customWidth="1"/>
    <col min="4099" max="4099" width="6.140625" style="10" customWidth="1"/>
    <col min="4100" max="4100" width="11.85546875" style="10" customWidth="1"/>
    <col min="4101" max="4101" width="9.42578125" style="10" customWidth="1"/>
    <col min="4102" max="4102" width="14.7109375" style="10" customWidth="1"/>
    <col min="4103" max="4103" width="11.5703125" style="10" customWidth="1"/>
    <col min="4104" max="4104" width="0.42578125" style="10" customWidth="1"/>
    <col min="4105" max="4105" width="10.5703125" style="10" bestFit="1" customWidth="1"/>
    <col min="4106" max="4106" width="12.28515625" style="10" customWidth="1"/>
    <col min="4107" max="4107" width="12.5703125" style="10" customWidth="1"/>
    <col min="4108" max="4108" width="10.5703125" style="10" customWidth="1"/>
    <col min="4109" max="4109" width="10.140625" style="10" customWidth="1"/>
    <col min="4110" max="4110" width="8.42578125" style="10" customWidth="1"/>
    <col min="4111" max="4111" width="18.85546875" style="10" customWidth="1"/>
    <col min="4112" max="4112" width="10.28515625" style="10" customWidth="1"/>
    <col min="4113" max="4113" width="11.42578125" style="10"/>
    <col min="4114" max="4114" width="12.140625" style="10" customWidth="1"/>
    <col min="4115" max="4115" width="10.5703125" style="10" customWidth="1"/>
    <col min="4116" max="4116" width="12.42578125" style="10" customWidth="1"/>
    <col min="4117" max="4117" width="15.140625" style="10" customWidth="1"/>
    <col min="4118" max="4118" width="13.5703125" style="10" customWidth="1"/>
    <col min="4119" max="4119" width="13.140625" style="10" customWidth="1"/>
    <col min="4120" max="4120" width="15.7109375" style="10" customWidth="1"/>
    <col min="4121" max="4121" width="37.5703125" style="10" customWidth="1"/>
    <col min="4122" max="4343" width="11.42578125" style="10"/>
    <col min="4344" max="4344" width="10.5703125" style="10" customWidth="1"/>
    <col min="4345" max="4345" width="4.85546875" style="10" customWidth="1"/>
    <col min="4346" max="4346" width="32.42578125" style="10" customWidth="1"/>
    <col min="4347" max="4347" width="9.85546875" style="10" customWidth="1"/>
    <col min="4348" max="4348" width="10.140625" style="10" customWidth="1"/>
    <col min="4349" max="4349" width="12.28515625" style="10" customWidth="1"/>
    <col min="4350" max="4350" width="15.42578125" style="10" customWidth="1"/>
    <col min="4351" max="4351" width="11.85546875" style="10" customWidth="1"/>
    <col min="4352" max="4352" width="13.28515625" style="10" customWidth="1"/>
    <col min="4353" max="4353" width="15.28515625" style="10" customWidth="1"/>
    <col min="4354" max="4354" width="11.85546875" style="10" customWidth="1"/>
    <col min="4355" max="4355" width="6.140625" style="10" customWidth="1"/>
    <col min="4356" max="4356" width="11.85546875" style="10" customWidth="1"/>
    <col min="4357" max="4357" width="9.42578125" style="10" customWidth="1"/>
    <col min="4358" max="4358" width="14.7109375" style="10" customWidth="1"/>
    <col min="4359" max="4359" width="11.5703125" style="10" customWidth="1"/>
    <col min="4360" max="4360" width="0.42578125" style="10" customWidth="1"/>
    <col min="4361" max="4361" width="10.5703125" style="10" bestFit="1" customWidth="1"/>
    <col min="4362" max="4362" width="12.28515625" style="10" customWidth="1"/>
    <col min="4363" max="4363" width="12.5703125" style="10" customWidth="1"/>
    <col min="4364" max="4364" width="10.5703125" style="10" customWidth="1"/>
    <col min="4365" max="4365" width="10.140625" style="10" customWidth="1"/>
    <col min="4366" max="4366" width="8.42578125" style="10" customWidth="1"/>
    <col min="4367" max="4367" width="18.85546875" style="10" customWidth="1"/>
    <col min="4368" max="4368" width="10.28515625" style="10" customWidth="1"/>
    <col min="4369" max="4369" width="11.42578125" style="10"/>
    <col min="4370" max="4370" width="12.140625" style="10" customWidth="1"/>
    <col min="4371" max="4371" width="10.5703125" style="10" customWidth="1"/>
    <col min="4372" max="4372" width="12.42578125" style="10" customWidth="1"/>
    <col min="4373" max="4373" width="15.140625" style="10" customWidth="1"/>
    <col min="4374" max="4374" width="13.5703125" style="10" customWidth="1"/>
    <col min="4375" max="4375" width="13.140625" style="10" customWidth="1"/>
    <col min="4376" max="4376" width="15.7109375" style="10" customWidth="1"/>
    <col min="4377" max="4377" width="37.5703125" style="10" customWidth="1"/>
    <col min="4378" max="4599" width="11.42578125" style="10"/>
    <col min="4600" max="4600" width="10.5703125" style="10" customWidth="1"/>
    <col min="4601" max="4601" width="4.85546875" style="10" customWidth="1"/>
    <col min="4602" max="4602" width="32.42578125" style="10" customWidth="1"/>
    <col min="4603" max="4603" width="9.85546875" style="10" customWidth="1"/>
    <col min="4604" max="4604" width="10.140625" style="10" customWidth="1"/>
    <col min="4605" max="4605" width="12.28515625" style="10" customWidth="1"/>
    <col min="4606" max="4606" width="15.42578125" style="10" customWidth="1"/>
    <col min="4607" max="4607" width="11.85546875" style="10" customWidth="1"/>
    <col min="4608" max="4608" width="13.28515625" style="10" customWidth="1"/>
    <col min="4609" max="4609" width="15.28515625" style="10" customWidth="1"/>
    <col min="4610" max="4610" width="11.85546875" style="10" customWidth="1"/>
    <col min="4611" max="4611" width="6.140625" style="10" customWidth="1"/>
    <col min="4612" max="4612" width="11.85546875" style="10" customWidth="1"/>
    <col min="4613" max="4613" width="9.42578125" style="10" customWidth="1"/>
    <col min="4614" max="4614" width="14.7109375" style="10" customWidth="1"/>
    <col min="4615" max="4615" width="11.5703125" style="10" customWidth="1"/>
    <col min="4616" max="4616" width="0.42578125" style="10" customWidth="1"/>
    <col min="4617" max="4617" width="10.5703125" style="10" bestFit="1" customWidth="1"/>
    <col min="4618" max="4618" width="12.28515625" style="10" customWidth="1"/>
    <col min="4619" max="4619" width="12.5703125" style="10" customWidth="1"/>
    <col min="4620" max="4620" width="10.5703125" style="10" customWidth="1"/>
    <col min="4621" max="4621" width="10.140625" style="10" customWidth="1"/>
    <col min="4622" max="4622" width="8.42578125" style="10" customWidth="1"/>
    <col min="4623" max="4623" width="18.85546875" style="10" customWidth="1"/>
    <col min="4624" max="4624" width="10.28515625" style="10" customWidth="1"/>
    <col min="4625" max="4625" width="11.42578125" style="10"/>
    <col min="4626" max="4626" width="12.140625" style="10" customWidth="1"/>
    <col min="4627" max="4627" width="10.5703125" style="10" customWidth="1"/>
    <col min="4628" max="4628" width="12.42578125" style="10" customWidth="1"/>
    <col min="4629" max="4629" width="15.140625" style="10" customWidth="1"/>
    <col min="4630" max="4630" width="13.5703125" style="10" customWidth="1"/>
    <col min="4631" max="4631" width="13.140625" style="10" customWidth="1"/>
    <col min="4632" max="4632" width="15.7109375" style="10" customWidth="1"/>
    <col min="4633" max="4633" width="37.5703125" style="10" customWidth="1"/>
    <col min="4634" max="4855" width="11.42578125" style="10"/>
    <col min="4856" max="4856" width="10.5703125" style="10" customWidth="1"/>
    <col min="4857" max="4857" width="4.85546875" style="10" customWidth="1"/>
    <col min="4858" max="4858" width="32.42578125" style="10" customWidth="1"/>
    <col min="4859" max="4859" width="9.85546875" style="10" customWidth="1"/>
    <col min="4860" max="4860" width="10.140625" style="10" customWidth="1"/>
    <col min="4861" max="4861" width="12.28515625" style="10" customWidth="1"/>
    <col min="4862" max="4862" width="15.42578125" style="10" customWidth="1"/>
    <col min="4863" max="4863" width="11.85546875" style="10" customWidth="1"/>
    <col min="4864" max="4864" width="13.28515625" style="10" customWidth="1"/>
    <col min="4865" max="4865" width="15.28515625" style="10" customWidth="1"/>
    <col min="4866" max="4866" width="11.85546875" style="10" customWidth="1"/>
    <col min="4867" max="4867" width="6.140625" style="10" customWidth="1"/>
    <col min="4868" max="4868" width="11.85546875" style="10" customWidth="1"/>
    <col min="4869" max="4869" width="9.42578125" style="10" customWidth="1"/>
    <col min="4870" max="4870" width="14.7109375" style="10" customWidth="1"/>
    <col min="4871" max="4871" width="11.5703125" style="10" customWidth="1"/>
    <col min="4872" max="4872" width="0.42578125" style="10" customWidth="1"/>
    <col min="4873" max="4873" width="10.5703125" style="10" bestFit="1" customWidth="1"/>
    <col min="4874" max="4874" width="12.28515625" style="10" customWidth="1"/>
    <col min="4875" max="4875" width="12.5703125" style="10" customWidth="1"/>
    <col min="4876" max="4876" width="10.5703125" style="10" customWidth="1"/>
    <col min="4877" max="4877" width="10.140625" style="10" customWidth="1"/>
    <col min="4878" max="4878" width="8.42578125" style="10" customWidth="1"/>
    <col min="4879" max="4879" width="18.85546875" style="10" customWidth="1"/>
    <col min="4880" max="4880" width="10.28515625" style="10" customWidth="1"/>
    <col min="4881" max="4881" width="11.42578125" style="10"/>
    <col min="4882" max="4882" width="12.140625" style="10" customWidth="1"/>
    <col min="4883" max="4883" width="10.5703125" style="10" customWidth="1"/>
    <col min="4884" max="4884" width="12.42578125" style="10" customWidth="1"/>
    <col min="4885" max="4885" width="15.140625" style="10" customWidth="1"/>
    <col min="4886" max="4886" width="13.5703125" style="10" customWidth="1"/>
    <col min="4887" max="4887" width="13.140625" style="10" customWidth="1"/>
    <col min="4888" max="4888" width="15.7109375" style="10" customWidth="1"/>
    <col min="4889" max="4889" width="37.5703125" style="10" customWidth="1"/>
    <col min="4890" max="5111" width="11.42578125" style="10"/>
    <col min="5112" max="5112" width="10.5703125" style="10" customWidth="1"/>
    <col min="5113" max="5113" width="4.85546875" style="10" customWidth="1"/>
    <col min="5114" max="5114" width="32.42578125" style="10" customWidth="1"/>
    <col min="5115" max="5115" width="9.85546875" style="10" customWidth="1"/>
    <col min="5116" max="5116" width="10.140625" style="10" customWidth="1"/>
    <col min="5117" max="5117" width="12.28515625" style="10" customWidth="1"/>
    <col min="5118" max="5118" width="15.42578125" style="10" customWidth="1"/>
    <col min="5119" max="5119" width="11.85546875" style="10" customWidth="1"/>
    <col min="5120" max="5120" width="13.28515625" style="10" customWidth="1"/>
    <col min="5121" max="5121" width="15.28515625" style="10" customWidth="1"/>
    <col min="5122" max="5122" width="11.85546875" style="10" customWidth="1"/>
    <col min="5123" max="5123" width="6.140625" style="10" customWidth="1"/>
    <col min="5124" max="5124" width="11.85546875" style="10" customWidth="1"/>
    <col min="5125" max="5125" width="9.42578125" style="10" customWidth="1"/>
    <col min="5126" max="5126" width="14.7109375" style="10" customWidth="1"/>
    <col min="5127" max="5127" width="11.5703125" style="10" customWidth="1"/>
    <col min="5128" max="5128" width="0.42578125" style="10" customWidth="1"/>
    <col min="5129" max="5129" width="10.5703125" style="10" bestFit="1" customWidth="1"/>
    <col min="5130" max="5130" width="12.28515625" style="10" customWidth="1"/>
    <col min="5131" max="5131" width="12.5703125" style="10" customWidth="1"/>
    <col min="5132" max="5132" width="10.5703125" style="10" customWidth="1"/>
    <col min="5133" max="5133" width="10.140625" style="10" customWidth="1"/>
    <col min="5134" max="5134" width="8.42578125" style="10" customWidth="1"/>
    <col min="5135" max="5135" width="18.85546875" style="10" customWidth="1"/>
    <col min="5136" max="5136" width="10.28515625" style="10" customWidth="1"/>
    <col min="5137" max="5137" width="11.42578125" style="10"/>
    <col min="5138" max="5138" width="12.140625" style="10" customWidth="1"/>
    <col min="5139" max="5139" width="10.5703125" style="10" customWidth="1"/>
    <col min="5140" max="5140" width="12.42578125" style="10" customWidth="1"/>
    <col min="5141" max="5141" width="15.140625" style="10" customWidth="1"/>
    <col min="5142" max="5142" width="13.5703125" style="10" customWidth="1"/>
    <col min="5143" max="5143" width="13.140625" style="10" customWidth="1"/>
    <col min="5144" max="5144" width="15.7109375" style="10" customWidth="1"/>
    <col min="5145" max="5145" width="37.5703125" style="10" customWidth="1"/>
    <col min="5146" max="5367" width="11.42578125" style="10"/>
    <col min="5368" max="5368" width="10.5703125" style="10" customWidth="1"/>
    <col min="5369" max="5369" width="4.85546875" style="10" customWidth="1"/>
    <col min="5370" max="5370" width="32.42578125" style="10" customWidth="1"/>
    <col min="5371" max="5371" width="9.85546875" style="10" customWidth="1"/>
    <col min="5372" max="5372" width="10.140625" style="10" customWidth="1"/>
    <col min="5373" max="5373" width="12.28515625" style="10" customWidth="1"/>
    <col min="5374" max="5374" width="15.42578125" style="10" customWidth="1"/>
    <col min="5375" max="5375" width="11.85546875" style="10" customWidth="1"/>
    <col min="5376" max="5376" width="13.28515625" style="10" customWidth="1"/>
    <col min="5377" max="5377" width="15.28515625" style="10" customWidth="1"/>
    <col min="5378" max="5378" width="11.85546875" style="10" customWidth="1"/>
    <col min="5379" max="5379" width="6.140625" style="10" customWidth="1"/>
    <col min="5380" max="5380" width="11.85546875" style="10" customWidth="1"/>
    <col min="5381" max="5381" width="9.42578125" style="10" customWidth="1"/>
    <col min="5382" max="5382" width="14.7109375" style="10" customWidth="1"/>
    <col min="5383" max="5383" width="11.5703125" style="10" customWidth="1"/>
    <col min="5384" max="5384" width="0.42578125" style="10" customWidth="1"/>
    <col min="5385" max="5385" width="10.5703125" style="10" bestFit="1" customWidth="1"/>
    <col min="5386" max="5386" width="12.28515625" style="10" customWidth="1"/>
    <col min="5387" max="5387" width="12.5703125" style="10" customWidth="1"/>
    <col min="5388" max="5388" width="10.5703125" style="10" customWidth="1"/>
    <col min="5389" max="5389" width="10.140625" style="10" customWidth="1"/>
    <col min="5390" max="5390" width="8.42578125" style="10" customWidth="1"/>
    <col min="5391" max="5391" width="18.85546875" style="10" customWidth="1"/>
    <col min="5392" max="5392" width="10.28515625" style="10" customWidth="1"/>
    <col min="5393" max="5393" width="11.42578125" style="10"/>
    <col min="5394" max="5394" width="12.140625" style="10" customWidth="1"/>
    <col min="5395" max="5395" width="10.5703125" style="10" customWidth="1"/>
    <col min="5396" max="5396" width="12.42578125" style="10" customWidth="1"/>
    <col min="5397" max="5397" width="15.140625" style="10" customWidth="1"/>
    <col min="5398" max="5398" width="13.5703125" style="10" customWidth="1"/>
    <col min="5399" max="5399" width="13.140625" style="10" customWidth="1"/>
    <col min="5400" max="5400" width="15.7109375" style="10" customWidth="1"/>
    <col min="5401" max="5401" width="37.5703125" style="10" customWidth="1"/>
    <col min="5402" max="5623" width="11.42578125" style="10"/>
    <col min="5624" max="5624" width="10.5703125" style="10" customWidth="1"/>
    <col min="5625" max="5625" width="4.85546875" style="10" customWidth="1"/>
    <col min="5626" max="5626" width="32.42578125" style="10" customWidth="1"/>
    <col min="5627" max="5627" width="9.85546875" style="10" customWidth="1"/>
    <col min="5628" max="5628" width="10.140625" style="10" customWidth="1"/>
    <col min="5629" max="5629" width="12.28515625" style="10" customWidth="1"/>
    <col min="5630" max="5630" width="15.42578125" style="10" customWidth="1"/>
    <col min="5631" max="5631" width="11.85546875" style="10" customWidth="1"/>
    <col min="5632" max="5632" width="13.28515625" style="10" customWidth="1"/>
    <col min="5633" max="5633" width="15.28515625" style="10" customWidth="1"/>
    <col min="5634" max="5634" width="11.85546875" style="10" customWidth="1"/>
    <col min="5635" max="5635" width="6.140625" style="10" customWidth="1"/>
    <col min="5636" max="5636" width="11.85546875" style="10" customWidth="1"/>
    <col min="5637" max="5637" width="9.42578125" style="10" customWidth="1"/>
    <col min="5638" max="5638" width="14.7109375" style="10" customWidth="1"/>
    <col min="5639" max="5639" width="11.5703125" style="10" customWidth="1"/>
    <col min="5640" max="5640" width="0.42578125" style="10" customWidth="1"/>
    <col min="5641" max="5641" width="10.5703125" style="10" bestFit="1" customWidth="1"/>
    <col min="5642" max="5642" width="12.28515625" style="10" customWidth="1"/>
    <col min="5643" max="5643" width="12.5703125" style="10" customWidth="1"/>
    <col min="5644" max="5644" width="10.5703125" style="10" customWidth="1"/>
    <col min="5645" max="5645" width="10.140625" style="10" customWidth="1"/>
    <col min="5646" max="5646" width="8.42578125" style="10" customWidth="1"/>
    <col min="5647" max="5647" width="18.85546875" style="10" customWidth="1"/>
    <col min="5648" max="5648" width="10.28515625" style="10" customWidth="1"/>
    <col min="5649" max="5649" width="11.42578125" style="10"/>
    <col min="5650" max="5650" width="12.140625" style="10" customWidth="1"/>
    <col min="5651" max="5651" width="10.5703125" style="10" customWidth="1"/>
    <col min="5652" max="5652" width="12.42578125" style="10" customWidth="1"/>
    <col min="5653" max="5653" width="15.140625" style="10" customWidth="1"/>
    <col min="5654" max="5654" width="13.5703125" style="10" customWidth="1"/>
    <col min="5655" max="5655" width="13.140625" style="10" customWidth="1"/>
    <col min="5656" max="5656" width="15.7109375" style="10" customWidth="1"/>
    <col min="5657" max="5657" width="37.5703125" style="10" customWidth="1"/>
    <col min="5658" max="5879" width="11.42578125" style="10"/>
    <col min="5880" max="5880" width="10.5703125" style="10" customWidth="1"/>
    <col min="5881" max="5881" width="4.85546875" style="10" customWidth="1"/>
    <col min="5882" max="5882" width="32.42578125" style="10" customWidth="1"/>
    <col min="5883" max="5883" width="9.85546875" style="10" customWidth="1"/>
    <col min="5884" max="5884" width="10.140625" style="10" customWidth="1"/>
    <col min="5885" max="5885" width="12.28515625" style="10" customWidth="1"/>
    <col min="5886" max="5886" width="15.42578125" style="10" customWidth="1"/>
    <col min="5887" max="5887" width="11.85546875" style="10" customWidth="1"/>
    <col min="5888" max="5888" width="13.28515625" style="10" customWidth="1"/>
    <col min="5889" max="5889" width="15.28515625" style="10" customWidth="1"/>
    <col min="5890" max="5890" width="11.85546875" style="10" customWidth="1"/>
    <col min="5891" max="5891" width="6.140625" style="10" customWidth="1"/>
    <col min="5892" max="5892" width="11.85546875" style="10" customWidth="1"/>
    <col min="5893" max="5893" width="9.42578125" style="10" customWidth="1"/>
    <col min="5894" max="5894" width="14.7109375" style="10" customWidth="1"/>
    <col min="5895" max="5895" width="11.5703125" style="10" customWidth="1"/>
    <col min="5896" max="5896" width="0.42578125" style="10" customWidth="1"/>
    <col min="5897" max="5897" width="10.5703125" style="10" bestFit="1" customWidth="1"/>
    <col min="5898" max="5898" width="12.28515625" style="10" customWidth="1"/>
    <col min="5899" max="5899" width="12.5703125" style="10" customWidth="1"/>
    <col min="5900" max="5900" width="10.5703125" style="10" customWidth="1"/>
    <col min="5901" max="5901" width="10.140625" style="10" customWidth="1"/>
    <col min="5902" max="5902" width="8.42578125" style="10" customWidth="1"/>
    <col min="5903" max="5903" width="18.85546875" style="10" customWidth="1"/>
    <col min="5904" max="5904" width="10.28515625" style="10" customWidth="1"/>
    <col min="5905" max="5905" width="11.42578125" style="10"/>
    <col min="5906" max="5906" width="12.140625" style="10" customWidth="1"/>
    <col min="5907" max="5907" width="10.5703125" style="10" customWidth="1"/>
    <col min="5908" max="5908" width="12.42578125" style="10" customWidth="1"/>
    <col min="5909" max="5909" width="15.140625" style="10" customWidth="1"/>
    <col min="5910" max="5910" width="13.5703125" style="10" customWidth="1"/>
    <col min="5911" max="5911" width="13.140625" style="10" customWidth="1"/>
    <col min="5912" max="5912" width="15.7109375" style="10" customWidth="1"/>
    <col min="5913" max="5913" width="37.5703125" style="10" customWidth="1"/>
    <col min="5914" max="6135" width="11.42578125" style="10"/>
    <col min="6136" max="6136" width="10.5703125" style="10" customWidth="1"/>
    <col min="6137" max="6137" width="4.85546875" style="10" customWidth="1"/>
    <col min="6138" max="6138" width="32.42578125" style="10" customWidth="1"/>
    <col min="6139" max="6139" width="9.85546875" style="10" customWidth="1"/>
    <col min="6140" max="6140" width="10.140625" style="10" customWidth="1"/>
    <col min="6141" max="6141" width="12.28515625" style="10" customWidth="1"/>
    <col min="6142" max="6142" width="15.42578125" style="10" customWidth="1"/>
    <col min="6143" max="6143" width="11.85546875" style="10" customWidth="1"/>
    <col min="6144" max="6144" width="13.28515625" style="10" customWidth="1"/>
    <col min="6145" max="6145" width="15.28515625" style="10" customWidth="1"/>
    <col min="6146" max="6146" width="11.85546875" style="10" customWidth="1"/>
    <col min="6147" max="6147" width="6.140625" style="10" customWidth="1"/>
    <col min="6148" max="6148" width="11.85546875" style="10" customWidth="1"/>
    <col min="6149" max="6149" width="9.42578125" style="10" customWidth="1"/>
    <col min="6150" max="6150" width="14.7109375" style="10" customWidth="1"/>
    <col min="6151" max="6151" width="11.5703125" style="10" customWidth="1"/>
    <col min="6152" max="6152" width="0.42578125" style="10" customWidth="1"/>
    <col min="6153" max="6153" width="10.5703125" style="10" bestFit="1" customWidth="1"/>
    <col min="6154" max="6154" width="12.28515625" style="10" customWidth="1"/>
    <col min="6155" max="6155" width="12.5703125" style="10" customWidth="1"/>
    <col min="6156" max="6156" width="10.5703125" style="10" customWidth="1"/>
    <col min="6157" max="6157" width="10.140625" style="10" customWidth="1"/>
    <col min="6158" max="6158" width="8.42578125" style="10" customWidth="1"/>
    <col min="6159" max="6159" width="18.85546875" style="10" customWidth="1"/>
    <col min="6160" max="6160" width="10.28515625" style="10" customWidth="1"/>
    <col min="6161" max="6161" width="11.42578125" style="10"/>
    <col min="6162" max="6162" width="12.140625" style="10" customWidth="1"/>
    <col min="6163" max="6163" width="10.5703125" style="10" customWidth="1"/>
    <col min="6164" max="6164" width="12.42578125" style="10" customWidth="1"/>
    <col min="6165" max="6165" width="15.140625" style="10" customWidth="1"/>
    <col min="6166" max="6166" width="13.5703125" style="10" customWidth="1"/>
    <col min="6167" max="6167" width="13.140625" style="10" customWidth="1"/>
    <col min="6168" max="6168" width="15.7109375" style="10" customWidth="1"/>
    <col min="6169" max="6169" width="37.5703125" style="10" customWidth="1"/>
    <col min="6170" max="6391" width="11.42578125" style="10"/>
    <col min="6392" max="6392" width="10.5703125" style="10" customWidth="1"/>
    <col min="6393" max="6393" width="4.85546875" style="10" customWidth="1"/>
    <col min="6394" max="6394" width="32.42578125" style="10" customWidth="1"/>
    <col min="6395" max="6395" width="9.85546875" style="10" customWidth="1"/>
    <col min="6396" max="6396" width="10.140625" style="10" customWidth="1"/>
    <col min="6397" max="6397" width="12.28515625" style="10" customWidth="1"/>
    <col min="6398" max="6398" width="15.42578125" style="10" customWidth="1"/>
    <col min="6399" max="6399" width="11.85546875" style="10" customWidth="1"/>
    <col min="6400" max="6400" width="13.28515625" style="10" customWidth="1"/>
    <col min="6401" max="6401" width="15.28515625" style="10" customWidth="1"/>
    <col min="6402" max="6402" width="11.85546875" style="10" customWidth="1"/>
    <col min="6403" max="6403" width="6.140625" style="10" customWidth="1"/>
    <col min="6404" max="6404" width="11.85546875" style="10" customWidth="1"/>
    <col min="6405" max="6405" width="9.42578125" style="10" customWidth="1"/>
    <col min="6406" max="6406" width="14.7109375" style="10" customWidth="1"/>
    <col min="6407" max="6407" width="11.5703125" style="10" customWidth="1"/>
    <col min="6408" max="6408" width="0.42578125" style="10" customWidth="1"/>
    <col min="6409" max="6409" width="10.5703125" style="10" bestFit="1" customWidth="1"/>
    <col min="6410" max="6410" width="12.28515625" style="10" customWidth="1"/>
    <col min="6411" max="6411" width="12.5703125" style="10" customWidth="1"/>
    <col min="6412" max="6412" width="10.5703125" style="10" customWidth="1"/>
    <col min="6413" max="6413" width="10.140625" style="10" customWidth="1"/>
    <col min="6414" max="6414" width="8.42578125" style="10" customWidth="1"/>
    <col min="6415" max="6415" width="18.85546875" style="10" customWidth="1"/>
    <col min="6416" max="6416" width="10.28515625" style="10" customWidth="1"/>
    <col min="6417" max="6417" width="11.42578125" style="10"/>
    <col min="6418" max="6418" width="12.140625" style="10" customWidth="1"/>
    <col min="6419" max="6419" width="10.5703125" style="10" customWidth="1"/>
    <col min="6420" max="6420" width="12.42578125" style="10" customWidth="1"/>
    <col min="6421" max="6421" width="15.140625" style="10" customWidth="1"/>
    <col min="6422" max="6422" width="13.5703125" style="10" customWidth="1"/>
    <col min="6423" max="6423" width="13.140625" style="10" customWidth="1"/>
    <col min="6424" max="6424" width="15.7109375" style="10" customWidth="1"/>
    <col min="6425" max="6425" width="37.5703125" style="10" customWidth="1"/>
    <col min="6426" max="6647" width="11.42578125" style="10"/>
    <col min="6648" max="6648" width="10.5703125" style="10" customWidth="1"/>
    <col min="6649" max="6649" width="4.85546875" style="10" customWidth="1"/>
    <col min="6650" max="6650" width="32.42578125" style="10" customWidth="1"/>
    <col min="6651" max="6651" width="9.85546875" style="10" customWidth="1"/>
    <col min="6652" max="6652" width="10.140625" style="10" customWidth="1"/>
    <col min="6653" max="6653" width="12.28515625" style="10" customWidth="1"/>
    <col min="6654" max="6654" width="15.42578125" style="10" customWidth="1"/>
    <col min="6655" max="6655" width="11.85546875" style="10" customWidth="1"/>
    <col min="6656" max="6656" width="13.28515625" style="10" customWidth="1"/>
    <col min="6657" max="6657" width="15.28515625" style="10" customWidth="1"/>
    <col min="6658" max="6658" width="11.85546875" style="10" customWidth="1"/>
    <col min="6659" max="6659" width="6.140625" style="10" customWidth="1"/>
    <col min="6660" max="6660" width="11.85546875" style="10" customWidth="1"/>
    <col min="6661" max="6661" width="9.42578125" style="10" customWidth="1"/>
    <col min="6662" max="6662" width="14.7109375" style="10" customWidth="1"/>
    <col min="6663" max="6663" width="11.5703125" style="10" customWidth="1"/>
    <col min="6664" max="6664" width="0.42578125" style="10" customWidth="1"/>
    <col min="6665" max="6665" width="10.5703125" style="10" bestFit="1" customWidth="1"/>
    <col min="6666" max="6666" width="12.28515625" style="10" customWidth="1"/>
    <col min="6667" max="6667" width="12.5703125" style="10" customWidth="1"/>
    <col min="6668" max="6668" width="10.5703125" style="10" customWidth="1"/>
    <col min="6669" max="6669" width="10.140625" style="10" customWidth="1"/>
    <col min="6670" max="6670" width="8.42578125" style="10" customWidth="1"/>
    <col min="6671" max="6671" width="18.85546875" style="10" customWidth="1"/>
    <col min="6672" max="6672" width="10.28515625" style="10" customWidth="1"/>
    <col min="6673" max="6673" width="11.42578125" style="10"/>
    <col min="6674" max="6674" width="12.140625" style="10" customWidth="1"/>
    <col min="6675" max="6675" width="10.5703125" style="10" customWidth="1"/>
    <col min="6676" max="6676" width="12.42578125" style="10" customWidth="1"/>
    <col min="6677" max="6677" width="15.140625" style="10" customWidth="1"/>
    <col min="6678" max="6678" width="13.5703125" style="10" customWidth="1"/>
    <col min="6679" max="6679" width="13.140625" style="10" customWidth="1"/>
    <col min="6680" max="6680" width="15.7109375" style="10" customWidth="1"/>
    <col min="6681" max="6681" width="37.5703125" style="10" customWidth="1"/>
    <col min="6682" max="6903" width="11.42578125" style="10"/>
    <col min="6904" max="6904" width="10.5703125" style="10" customWidth="1"/>
    <col min="6905" max="6905" width="4.85546875" style="10" customWidth="1"/>
    <col min="6906" max="6906" width="32.42578125" style="10" customWidth="1"/>
    <col min="6907" max="6907" width="9.85546875" style="10" customWidth="1"/>
    <col min="6908" max="6908" width="10.140625" style="10" customWidth="1"/>
    <col min="6909" max="6909" width="12.28515625" style="10" customWidth="1"/>
    <col min="6910" max="6910" width="15.42578125" style="10" customWidth="1"/>
    <col min="6911" max="6911" width="11.85546875" style="10" customWidth="1"/>
    <col min="6912" max="6912" width="13.28515625" style="10" customWidth="1"/>
    <col min="6913" max="6913" width="15.28515625" style="10" customWidth="1"/>
    <col min="6914" max="6914" width="11.85546875" style="10" customWidth="1"/>
    <col min="6915" max="6915" width="6.140625" style="10" customWidth="1"/>
    <col min="6916" max="6916" width="11.85546875" style="10" customWidth="1"/>
    <col min="6917" max="6917" width="9.42578125" style="10" customWidth="1"/>
    <col min="6918" max="6918" width="14.7109375" style="10" customWidth="1"/>
    <col min="6919" max="6919" width="11.5703125" style="10" customWidth="1"/>
    <col min="6920" max="6920" width="0.42578125" style="10" customWidth="1"/>
    <col min="6921" max="6921" width="10.5703125" style="10" bestFit="1" customWidth="1"/>
    <col min="6922" max="6922" width="12.28515625" style="10" customWidth="1"/>
    <col min="6923" max="6923" width="12.5703125" style="10" customWidth="1"/>
    <col min="6924" max="6924" width="10.5703125" style="10" customWidth="1"/>
    <col min="6925" max="6925" width="10.140625" style="10" customWidth="1"/>
    <col min="6926" max="6926" width="8.42578125" style="10" customWidth="1"/>
    <col min="6927" max="6927" width="18.85546875" style="10" customWidth="1"/>
    <col min="6928" max="6928" width="10.28515625" style="10" customWidth="1"/>
    <col min="6929" max="6929" width="11.42578125" style="10"/>
    <col min="6930" max="6930" width="12.140625" style="10" customWidth="1"/>
    <col min="6931" max="6931" width="10.5703125" style="10" customWidth="1"/>
    <col min="6932" max="6932" width="12.42578125" style="10" customWidth="1"/>
    <col min="6933" max="6933" width="15.140625" style="10" customWidth="1"/>
    <col min="6934" max="6934" width="13.5703125" style="10" customWidth="1"/>
    <col min="6935" max="6935" width="13.140625" style="10" customWidth="1"/>
    <col min="6936" max="6936" width="15.7109375" style="10" customWidth="1"/>
    <col min="6937" max="6937" width="37.5703125" style="10" customWidth="1"/>
    <col min="6938" max="7159" width="11.42578125" style="10"/>
    <col min="7160" max="7160" width="10.5703125" style="10" customWidth="1"/>
    <col min="7161" max="7161" width="4.85546875" style="10" customWidth="1"/>
    <col min="7162" max="7162" width="32.42578125" style="10" customWidth="1"/>
    <col min="7163" max="7163" width="9.85546875" style="10" customWidth="1"/>
    <col min="7164" max="7164" width="10.140625" style="10" customWidth="1"/>
    <col min="7165" max="7165" width="12.28515625" style="10" customWidth="1"/>
    <col min="7166" max="7166" width="15.42578125" style="10" customWidth="1"/>
    <col min="7167" max="7167" width="11.85546875" style="10" customWidth="1"/>
    <col min="7168" max="7168" width="13.28515625" style="10" customWidth="1"/>
    <col min="7169" max="7169" width="15.28515625" style="10" customWidth="1"/>
    <col min="7170" max="7170" width="11.85546875" style="10" customWidth="1"/>
    <col min="7171" max="7171" width="6.140625" style="10" customWidth="1"/>
    <col min="7172" max="7172" width="11.85546875" style="10" customWidth="1"/>
    <col min="7173" max="7173" width="9.42578125" style="10" customWidth="1"/>
    <col min="7174" max="7174" width="14.7109375" style="10" customWidth="1"/>
    <col min="7175" max="7175" width="11.5703125" style="10" customWidth="1"/>
    <col min="7176" max="7176" width="0.42578125" style="10" customWidth="1"/>
    <col min="7177" max="7177" width="10.5703125" style="10" bestFit="1" customWidth="1"/>
    <col min="7178" max="7178" width="12.28515625" style="10" customWidth="1"/>
    <col min="7179" max="7179" width="12.5703125" style="10" customWidth="1"/>
    <col min="7180" max="7180" width="10.5703125" style="10" customWidth="1"/>
    <col min="7181" max="7181" width="10.140625" style="10" customWidth="1"/>
    <col min="7182" max="7182" width="8.42578125" style="10" customWidth="1"/>
    <col min="7183" max="7183" width="18.85546875" style="10" customWidth="1"/>
    <col min="7184" max="7184" width="10.28515625" style="10" customWidth="1"/>
    <col min="7185" max="7185" width="11.42578125" style="10"/>
    <col min="7186" max="7186" width="12.140625" style="10" customWidth="1"/>
    <col min="7187" max="7187" width="10.5703125" style="10" customWidth="1"/>
    <col min="7188" max="7188" width="12.42578125" style="10" customWidth="1"/>
    <col min="7189" max="7189" width="15.140625" style="10" customWidth="1"/>
    <col min="7190" max="7190" width="13.5703125" style="10" customWidth="1"/>
    <col min="7191" max="7191" width="13.140625" style="10" customWidth="1"/>
    <col min="7192" max="7192" width="15.7109375" style="10" customWidth="1"/>
    <col min="7193" max="7193" width="37.5703125" style="10" customWidth="1"/>
    <col min="7194" max="7415" width="11.42578125" style="10"/>
    <col min="7416" max="7416" width="10.5703125" style="10" customWidth="1"/>
    <col min="7417" max="7417" width="4.85546875" style="10" customWidth="1"/>
    <col min="7418" max="7418" width="32.42578125" style="10" customWidth="1"/>
    <col min="7419" max="7419" width="9.85546875" style="10" customWidth="1"/>
    <col min="7420" max="7420" width="10.140625" style="10" customWidth="1"/>
    <col min="7421" max="7421" width="12.28515625" style="10" customWidth="1"/>
    <col min="7422" max="7422" width="15.42578125" style="10" customWidth="1"/>
    <col min="7423" max="7423" width="11.85546875" style="10" customWidth="1"/>
    <col min="7424" max="7424" width="13.28515625" style="10" customWidth="1"/>
    <col min="7425" max="7425" width="15.28515625" style="10" customWidth="1"/>
    <col min="7426" max="7426" width="11.85546875" style="10" customWidth="1"/>
    <col min="7427" max="7427" width="6.140625" style="10" customWidth="1"/>
    <col min="7428" max="7428" width="11.85546875" style="10" customWidth="1"/>
    <col min="7429" max="7429" width="9.42578125" style="10" customWidth="1"/>
    <col min="7430" max="7430" width="14.7109375" style="10" customWidth="1"/>
    <col min="7431" max="7431" width="11.5703125" style="10" customWidth="1"/>
    <col min="7432" max="7432" width="0.42578125" style="10" customWidth="1"/>
    <col min="7433" max="7433" width="10.5703125" style="10" bestFit="1" customWidth="1"/>
    <col min="7434" max="7434" width="12.28515625" style="10" customWidth="1"/>
    <col min="7435" max="7435" width="12.5703125" style="10" customWidth="1"/>
    <col min="7436" max="7436" width="10.5703125" style="10" customWidth="1"/>
    <col min="7437" max="7437" width="10.140625" style="10" customWidth="1"/>
    <col min="7438" max="7438" width="8.42578125" style="10" customWidth="1"/>
    <col min="7439" max="7439" width="18.85546875" style="10" customWidth="1"/>
    <col min="7440" max="7440" width="10.28515625" style="10" customWidth="1"/>
    <col min="7441" max="7441" width="11.42578125" style="10"/>
    <col min="7442" max="7442" width="12.140625" style="10" customWidth="1"/>
    <col min="7443" max="7443" width="10.5703125" style="10" customWidth="1"/>
    <col min="7444" max="7444" width="12.42578125" style="10" customWidth="1"/>
    <col min="7445" max="7445" width="15.140625" style="10" customWidth="1"/>
    <col min="7446" max="7446" width="13.5703125" style="10" customWidth="1"/>
    <col min="7447" max="7447" width="13.140625" style="10" customWidth="1"/>
    <col min="7448" max="7448" width="15.7109375" style="10" customWidth="1"/>
    <col min="7449" max="7449" width="37.5703125" style="10" customWidth="1"/>
    <col min="7450" max="7671" width="11.42578125" style="10"/>
    <col min="7672" max="7672" width="10.5703125" style="10" customWidth="1"/>
    <col min="7673" max="7673" width="4.85546875" style="10" customWidth="1"/>
    <col min="7674" max="7674" width="32.42578125" style="10" customWidth="1"/>
    <col min="7675" max="7675" width="9.85546875" style="10" customWidth="1"/>
    <col min="7676" max="7676" width="10.140625" style="10" customWidth="1"/>
    <col min="7677" max="7677" width="12.28515625" style="10" customWidth="1"/>
    <col min="7678" max="7678" width="15.42578125" style="10" customWidth="1"/>
    <col min="7679" max="7679" width="11.85546875" style="10" customWidth="1"/>
    <col min="7680" max="7680" width="13.28515625" style="10" customWidth="1"/>
    <col min="7681" max="7681" width="15.28515625" style="10" customWidth="1"/>
    <col min="7682" max="7682" width="11.85546875" style="10" customWidth="1"/>
    <col min="7683" max="7683" width="6.140625" style="10" customWidth="1"/>
    <col min="7684" max="7684" width="11.85546875" style="10" customWidth="1"/>
    <col min="7685" max="7685" width="9.42578125" style="10" customWidth="1"/>
    <col min="7686" max="7686" width="14.7109375" style="10" customWidth="1"/>
    <col min="7687" max="7687" width="11.5703125" style="10" customWidth="1"/>
    <col min="7688" max="7688" width="0.42578125" style="10" customWidth="1"/>
    <col min="7689" max="7689" width="10.5703125" style="10" bestFit="1" customWidth="1"/>
    <col min="7690" max="7690" width="12.28515625" style="10" customWidth="1"/>
    <col min="7691" max="7691" width="12.5703125" style="10" customWidth="1"/>
    <col min="7692" max="7692" width="10.5703125" style="10" customWidth="1"/>
    <col min="7693" max="7693" width="10.140625" style="10" customWidth="1"/>
    <col min="7694" max="7694" width="8.42578125" style="10" customWidth="1"/>
    <col min="7695" max="7695" width="18.85546875" style="10" customWidth="1"/>
    <col min="7696" max="7696" width="10.28515625" style="10" customWidth="1"/>
    <col min="7697" max="7697" width="11.42578125" style="10"/>
    <col min="7698" max="7698" width="12.140625" style="10" customWidth="1"/>
    <col min="7699" max="7699" width="10.5703125" style="10" customWidth="1"/>
    <col min="7700" max="7700" width="12.42578125" style="10" customWidth="1"/>
    <col min="7701" max="7701" width="15.140625" style="10" customWidth="1"/>
    <col min="7702" max="7702" width="13.5703125" style="10" customWidth="1"/>
    <col min="7703" max="7703" width="13.140625" style="10" customWidth="1"/>
    <col min="7704" max="7704" width="15.7109375" style="10" customWidth="1"/>
    <col min="7705" max="7705" width="37.5703125" style="10" customWidth="1"/>
    <col min="7706" max="7927" width="11.42578125" style="10"/>
    <col min="7928" max="7928" width="10.5703125" style="10" customWidth="1"/>
    <col min="7929" max="7929" width="4.85546875" style="10" customWidth="1"/>
    <col min="7930" max="7930" width="32.42578125" style="10" customWidth="1"/>
    <col min="7931" max="7931" width="9.85546875" style="10" customWidth="1"/>
    <col min="7932" max="7932" width="10.140625" style="10" customWidth="1"/>
    <col min="7933" max="7933" width="12.28515625" style="10" customWidth="1"/>
    <col min="7934" max="7934" width="15.42578125" style="10" customWidth="1"/>
    <col min="7935" max="7935" width="11.85546875" style="10" customWidth="1"/>
    <col min="7936" max="7936" width="13.28515625" style="10" customWidth="1"/>
    <col min="7937" max="7937" width="15.28515625" style="10" customWidth="1"/>
    <col min="7938" max="7938" width="11.85546875" style="10" customWidth="1"/>
    <col min="7939" max="7939" width="6.140625" style="10" customWidth="1"/>
    <col min="7940" max="7940" width="11.85546875" style="10" customWidth="1"/>
    <col min="7941" max="7941" width="9.42578125" style="10" customWidth="1"/>
    <col min="7942" max="7942" width="14.7109375" style="10" customWidth="1"/>
    <col min="7943" max="7943" width="11.5703125" style="10" customWidth="1"/>
    <col min="7944" max="7944" width="0.42578125" style="10" customWidth="1"/>
    <col min="7945" max="7945" width="10.5703125" style="10" bestFit="1" customWidth="1"/>
    <col min="7946" max="7946" width="12.28515625" style="10" customWidth="1"/>
    <col min="7947" max="7947" width="12.5703125" style="10" customWidth="1"/>
    <col min="7948" max="7948" width="10.5703125" style="10" customWidth="1"/>
    <col min="7949" max="7949" width="10.140625" style="10" customWidth="1"/>
    <col min="7950" max="7950" width="8.42578125" style="10" customWidth="1"/>
    <col min="7951" max="7951" width="18.85546875" style="10" customWidth="1"/>
    <col min="7952" max="7952" width="10.28515625" style="10" customWidth="1"/>
    <col min="7953" max="7953" width="11.42578125" style="10"/>
    <col min="7954" max="7954" width="12.140625" style="10" customWidth="1"/>
    <col min="7955" max="7955" width="10.5703125" style="10" customWidth="1"/>
    <col min="7956" max="7956" width="12.42578125" style="10" customWidth="1"/>
    <col min="7957" max="7957" width="15.140625" style="10" customWidth="1"/>
    <col min="7958" max="7958" width="13.5703125" style="10" customWidth="1"/>
    <col min="7959" max="7959" width="13.140625" style="10" customWidth="1"/>
    <col min="7960" max="7960" width="15.7109375" style="10" customWidth="1"/>
    <col min="7961" max="7961" width="37.5703125" style="10" customWidth="1"/>
    <col min="7962" max="8183" width="11.42578125" style="10"/>
    <col min="8184" max="8184" width="10.5703125" style="10" customWidth="1"/>
    <col min="8185" max="8185" width="4.85546875" style="10" customWidth="1"/>
    <col min="8186" max="8186" width="32.42578125" style="10" customWidth="1"/>
    <col min="8187" max="8187" width="9.85546875" style="10" customWidth="1"/>
    <col min="8188" max="8188" width="10.140625" style="10" customWidth="1"/>
    <col min="8189" max="8189" width="12.28515625" style="10" customWidth="1"/>
    <col min="8190" max="8190" width="15.42578125" style="10" customWidth="1"/>
    <col min="8191" max="8191" width="11.85546875" style="10" customWidth="1"/>
    <col min="8192" max="8192" width="13.28515625" style="10" customWidth="1"/>
    <col min="8193" max="8193" width="15.28515625" style="10" customWidth="1"/>
    <col min="8194" max="8194" width="11.85546875" style="10" customWidth="1"/>
    <col min="8195" max="8195" width="6.140625" style="10" customWidth="1"/>
    <col min="8196" max="8196" width="11.85546875" style="10" customWidth="1"/>
    <col min="8197" max="8197" width="9.42578125" style="10" customWidth="1"/>
    <col min="8198" max="8198" width="14.7109375" style="10" customWidth="1"/>
    <col min="8199" max="8199" width="11.5703125" style="10" customWidth="1"/>
    <col min="8200" max="8200" width="0.42578125" style="10" customWidth="1"/>
    <col min="8201" max="8201" width="10.5703125" style="10" bestFit="1" customWidth="1"/>
    <col min="8202" max="8202" width="12.28515625" style="10" customWidth="1"/>
    <col min="8203" max="8203" width="12.5703125" style="10" customWidth="1"/>
    <col min="8204" max="8204" width="10.5703125" style="10" customWidth="1"/>
    <col min="8205" max="8205" width="10.140625" style="10" customWidth="1"/>
    <col min="8206" max="8206" width="8.42578125" style="10" customWidth="1"/>
    <col min="8207" max="8207" width="18.85546875" style="10" customWidth="1"/>
    <col min="8208" max="8208" width="10.28515625" style="10" customWidth="1"/>
    <col min="8209" max="8209" width="11.42578125" style="10"/>
    <col min="8210" max="8210" width="12.140625" style="10" customWidth="1"/>
    <col min="8211" max="8211" width="10.5703125" style="10" customWidth="1"/>
    <col min="8212" max="8212" width="12.42578125" style="10" customWidth="1"/>
    <col min="8213" max="8213" width="15.140625" style="10" customWidth="1"/>
    <col min="8214" max="8214" width="13.5703125" style="10" customWidth="1"/>
    <col min="8215" max="8215" width="13.140625" style="10" customWidth="1"/>
    <col min="8216" max="8216" width="15.7109375" style="10" customWidth="1"/>
    <col min="8217" max="8217" width="37.5703125" style="10" customWidth="1"/>
    <col min="8218" max="8439" width="11.42578125" style="10"/>
    <col min="8440" max="8440" width="10.5703125" style="10" customWidth="1"/>
    <col min="8441" max="8441" width="4.85546875" style="10" customWidth="1"/>
    <col min="8442" max="8442" width="32.42578125" style="10" customWidth="1"/>
    <col min="8443" max="8443" width="9.85546875" style="10" customWidth="1"/>
    <col min="8444" max="8444" width="10.140625" style="10" customWidth="1"/>
    <col min="8445" max="8445" width="12.28515625" style="10" customWidth="1"/>
    <col min="8446" max="8446" width="15.42578125" style="10" customWidth="1"/>
    <col min="8447" max="8447" width="11.85546875" style="10" customWidth="1"/>
    <col min="8448" max="8448" width="13.28515625" style="10" customWidth="1"/>
    <col min="8449" max="8449" width="15.28515625" style="10" customWidth="1"/>
    <col min="8450" max="8450" width="11.85546875" style="10" customWidth="1"/>
    <col min="8451" max="8451" width="6.140625" style="10" customWidth="1"/>
    <col min="8452" max="8452" width="11.85546875" style="10" customWidth="1"/>
    <col min="8453" max="8453" width="9.42578125" style="10" customWidth="1"/>
    <col min="8454" max="8454" width="14.7109375" style="10" customWidth="1"/>
    <col min="8455" max="8455" width="11.5703125" style="10" customWidth="1"/>
    <col min="8456" max="8456" width="0.42578125" style="10" customWidth="1"/>
    <col min="8457" max="8457" width="10.5703125" style="10" bestFit="1" customWidth="1"/>
    <col min="8458" max="8458" width="12.28515625" style="10" customWidth="1"/>
    <col min="8459" max="8459" width="12.5703125" style="10" customWidth="1"/>
    <col min="8460" max="8460" width="10.5703125" style="10" customWidth="1"/>
    <col min="8461" max="8461" width="10.140625" style="10" customWidth="1"/>
    <col min="8462" max="8462" width="8.42578125" style="10" customWidth="1"/>
    <col min="8463" max="8463" width="18.85546875" style="10" customWidth="1"/>
    <col min="8464" max="8464" width="10.28515625" style="10" customWidth="1"/>
    <col min="8465" max="8465" width="11.42578125" style="10"/>
    <col min="8466" max="8466" width="12.140625" style="10" customWidth="1"/>
    <col min="8467" max="8467" width="10.5703125" style="10" customWidth="1"/>
    <col min="8468" max="8468" width="12.42578125" style="10" customWidth="1"/>
    <col min="8469" max="8469" width="15.140625" style="10" customWidth="1"/>
    <col min="8470" max="8470" width="13.5703125" style="10" customWidth="1"/>
    <col min="8471" max="8471" width="13.140625" style="10" customWidth="1"/>
    <col min="8472" max="8472" width="15.7109375" style="10" customWidth="1"/>
    <col min="8473" max="8473" width="37.5703125" style="10" customWidth="1"/>
    <col min="8474" max="8695" width="11.42578125" style="10"/>
    <col min="8696" max="8696" width="10.5703125" style="10" customWidth="1"/>
    <col min="8697" max="8697" width="4.85546875" style="10" customWidth="1"/>
    <col min="8698" max="8698" width="32.42578125" style="10" customWidth="1"/>
    <col min="8699" max="8699" width="9.85546875" style="10" customWidth="1"/>
    <col min="8700" max="8700" width="10.140625" style="10" customWidth="1"/>
    <col min="8701" max="8701" width="12.28515625" style="10" customWidth="1"/>
    <col min="8702" max="8702" width="15.42578125" style="10" customWidth="1"/>
    <col min="8703" max="8703" width="11.85546875" style="10" customWidth="1"/>
    <col min="8704" max="8704" width="13.28515625" style="10" customWidth="1"/>
    <col min="8705" max="8705" width="15.28515625" style="10" customWidth="1"/>
    <col min="8706" max="8706" width="11.85546875" style="10" customWidth="1"/>
    <col min="8707" max="8707" width="6.140625" style="10" customWidth="1"/>
    <col min="8708" max="8708" width="11.85546875" style="10" customWidth="1"/>
    <col min="8709" max="8709" width="9.42578125" style="10" customWidth="1"/>
    <col min="8710" max="8710" width="14.7109375" style="10" customWidth="1"/>
    <col min="8711" max="8711" width="11.5703125" style="10" customWidth="1"/>
    <col min="8712" max="8712" width="0.42578125" style="10" customWidth="1"/>
    <col min="8713" max="8713" width="10.5703125" style="10" bestFit="1" customWidth="1"/>
    <col min="8714" max="8714" width="12.28515625" style="10" customWidth="1"/>
    <col min="8715" max="8715" width="12.5703125" style="10" customWidth="1"/>
    <col min="8716" max="8716" width="10.5703125" style="10" customWidth="1"/>
    <col min="8717" max="8717" width="10.140625" style="10" customWidth="1"/>
    <col min="8718" max="8718" width="8.42578125" style="10" customWidth="1"/>
    <col min="8719" max="8719" width="18.85546875" style="10" customWidth="1"/>
    <col min="8720" max="8720" width="10.28515625" style="10" customWidth="1"/>
    <col min="8721" max="8721" width="11.42578125" style="10"/>
    <col min="8722" max="8722" width="12.140625" style="10" customWidth="1"/>
    <col min="8723" max="8723" width="10.5703125" style="10" customWidth="1"/>
    <col min="8724" max="8724" width="12.42578125" style="10" customWidth="1"/>
    <col min="8725" max="8725" width="15.140625" style="10" customWidth="1"/>
    <col min="8726" max="8726" width="13.5703125" style="10" customWidth="1"/>
    <col min="8727" max="8727" width="13.140625" style="10" customWidth="1"/>
    <col min="8728" max="8728" width="15.7109375" style="10" customWidth="1"/>
    <col min="8729" max="8729" width="37.5703125" style="10" customWidth="1"/>
    <col min="8730" max="8951" width="11.42578125" style="10"/>
    <col min="8952" max="8952" width="10.5703125" style="10" customWidth="1"/>
    <col min="8953" max="8953" width="4.85546875" style="10" customWidth="1"/>
    <col min="8954" max="8954" width="32.42578125" style="10" customWidth="1"/>
    <col min="8955" max="8955" width="9.85546875" style="10" customWidth="1"/>
    <col min="8956" max="8956" width="10.140625" style="10" customWidth="1"/>
    <col min="8957" max="8957" width="12.28515625" style="10" customWidth="1"/>
    <col min="8958" max="8958" width="15.42578125" style="10" customWidth="1"/>
    <col min="8959" max="8959" width="11.85546875" style="10" customWidth="1"/>
    <col min="8960" max="8960" width="13.28515625" style="10" customWidth="1"/>
    <col min="8961" max="8961" width="15.28515625" style="10" customWidth="1"/>
    <col min="8962" max="8962" width="11.85546875" style="10" customWidth="1"/>
    <col min="8963" max="8963" width="6.140625" style="10" customWidth="1"/>
    <col min="8964" max="8964" width="11.85546875" style="10" customWidth="1"/>
    <col min="8965" max="8965" width="9.42578125" style="10" customWidth="1"/>
    <col min="8966" max="8966" width="14.7109375" style="10" customWidth="1"/>
    <col min="8967" max="8967" width="11.5703125" style="10" customWidth="1"/>
    <col min="8968" max="8968" width="0.42578125" style="10" customWidth="1"/>
    <col min="8969" max="8969" width="10.5703125" style="10" bestFit="1" customWidth="1"/>
    <col min="8970" max="8970" width="12.28515625" style="10" customWidth="1"/>
    <col min="8971" max="8971" width="12.5703125" style="10" customWidth="1"/>
    <col min="8972" max="8972" width="10.5703125" style="10" customWidth="1"/>
    <col min="8973" max="8973" width="10.140625" style="10" customWidth="1"/>
    <col min="8974" max="8974" width="8.42578125" style="10" customWidth="1"/>
    <col min="8975" max="8975" width="18.85546875" style="10" customWidth="1"/>
    <col min="8976" max="8976" width="10.28515625" style="10" customWidth="1"/>
    <col min="8977" max="8977" width="11.42578125" style="10"/>
    <col min="8978" max="8978" width="12.140625" style="10" customWidth="1"/>
    <col min="8979" max="8979" width="10.5703125" style="10" customWidth="1"/>
    <col min="8980" max="8980" width="12.42578125" style="10" customWidth="1"/>
    <col min="8981" max="8981" width="15.140625" style="10" customWidth="1"/>
    <col min="8982" max="8982" width="13.5703125" style="10" customWidth="1"/>
    <col min="8983" max="8983" width="13.140625" style="10" customWidth="1"/>
    <col min="8984" max="8984" width="15.7109375" style="10" customWidth="1"/>
    <col min="8985" max="8985" width="37.5703125" style="10" customWidth="1"/>
    <col min="8986" max="9207" width="11.42578125" style="10"/>
    <col min="9208" max="9208" width="10.5703125" style="10" customWidth="1"/>
    <col min="9209" max="9209" width="4.85546875" style="10" customWidth="1"/>
    <col min="9210" max="9210" width="32.42578125" style="10" customWidth="1"/>
    <col min="9211" max="9211" width="9.85546875" style="10" customWidth="1"/>
    <col min="9212" max="9212" width="10.140625" style="10" customWidth="1"/>
    <col min="9213" max="9213" width="12.28515625" style="10" customWidth="1"/>
    <col min="9214" max="9214" width="15.42578125" style="10" customWidth="1"/>
    <col min="9215" max="9215" width="11.85546875" style="10" customWidth="1"/>
    <col min="9216" max="9216" width="13.28515625" style="10" customWidth="1"/>
    <col min="9217" max="9217" width="15.28515625" style="10" customWidth="1"/>
    <col min="9218" max="9218" width="11.85546875" style="10" customWidth="1"/>
    <col min="9219" max="9219" width="6.140625" style="10" customWidth="1"/>
    <col min="9220" max="9220" width="11.85546875" style="10" customWidth="1"/>
    <col min="9221" max="9221" width="9.42578125" style="10" customWidth="1"/>
    <col min="9222" max="9222" width="14.7109375" style="10" customWidth="1"/>
    <col min="9223" max="9223" width="11.5703125" style="10" customWidth="1"/>
    <col min="9224" max="9224" width="0.42578125" style="10" customWidth="1"/>
    <col min="9225" max="9225" width="10.5703125" style="10" bestFit="1" customWidth="1"/>
    <col min="9226" max="9226" width="12.28515625" style="10" customWidth="1"/>
    <col min="9227" max="9227" width="12.5703125" style="10" customWidth="1"/>
    <col min="9228" max="9228" width="10.5703125" style="10" customWidth="1"/>
    <col min="9229" max="9229" width="10.140625" style="10" customWidth="1"/>
    <col min="9230" max="9230" width="8.42578125" style="10" customWidth="1"/>
    <col min="9231" max="9231" width="18.85546875" style="10" customWidth="1"/>
    <col min="9232" max="9232" width="10.28515625" style="10" customWidth="1"/>
    <col min="9233" max="9233" width="11.42578125" style="10"/>
    <col min="9234" max="9234" width="12.140625" style="10" customWidth="1"/>
    <col min="9235" max="9235" width="10.5703125" style="10" customWidth="1"/>
    <col min="9236" max="9236" width="12.42578125" style="10" customWidth="1"/>
    <col min="9237" max="9237" width="15.140625" style="10" customWidth="1"/>
    <col min="9238" max="9238" width="13.5703125" style="10" customWidth="1"/>
    <col min="9239" max="9239" width="13.140625" style="10" customWidth="1"/>
    <col min="9240" max="9240" width="15.7109375" style="10" customWidth="1"/>
    <col min="9241" max="9241" width="37.5703125" style="10" customWidth="1"/>
    <col min="9242" max="9463" width="11.42578125" style="10"/>
    <col min="9464" max="9464" width="10.5703125" style="10" customWidth="1"/>
    <col min="9465" max="9465" width="4.85546875" style="10" customWidth="1"/>
    <col min="9466" max="9466" width="32.42578125" style="10" customWidth="1"/>
    <col min="9467" max="9467" width="9.85546875" style="10" customWidth="1"/>
    <col min="9468" max="9468" width="10.140625" style="10" customWidth="1"/>
    <col min="9469" max="9469" width="12.28515625" style="10" customWidth="1"/>
    <col min="9470" max="9470" width="15.42578125" style="10" customWidth="1"/>
    <col min="9471" max="9471" width="11.85546875" style="10" customWidth="1"/>
    <col min="9472" max="9472" width="13.28515625" style="10" customWidth="1"/>
    <col min="9473" max="9473" width="15.28515625" style="10" customWidth="1"/>
    <col min="9474" max="9474" width="11.85546875" style="10" customWidth="1"/>
    <col min="9475" max="9475" width="6.140625" style="10" customWidth="1"/>
    <col min="9476" max="9476" width="11.85546875" style="10" customWidth="1"/>
    <col min="9477" max="9477" width="9.42578125" style="10" customWidth="1"/>
    <col min="9478" max="9478" width="14.7109375" style="10" customWidth="1"/>
    <col min="9479" max="9479" width="11.5703125" style="10" customWidth="1"/>
    <col min="9480" max="9480" width="0.42578125" style="10" customWidth="1"/>
    <col min="9481" max="9481" width="10.5703125" style="10" bestFit="1" customWidth="1"/>
    <col min="9482" max="9482" width="12.28515625" style="10" customWidth="1"/>
    <col min="9483" max="9483" width="12.5703125" style="10" customWidth="1"/>
    <col min="9484" max="9484" width="10.5703125" style="10" customWidth="1"/>
    <col min="9485" max="9485" width="10.140625" style="10" customWidth="1"/>
    <col min="9486" max="9486" width="8.42578125" style="10" customWidth="1"/>
    <col min="9487" max="9487" width="18.85546875" style="10" customWidth="1"/>
    <col min="9488" max="9488" width="10.28515625" style="10" customWidth="1"/>
    <col min="9489" max="9489" width="11.42578125" style="10"/>
    <col min="9490" max="9490" width="12.140625" style="10" customWidth="1"/>
    <col min="9491" max="9491" width="10.5703125" style="10" customWidth="1"/>
    <col min="9492" max="9492" width="12.42578125" style="10" customWidth="1"/>
    <col min="9493" max="9493" width="15.140625" style="10" customWidth="1"/>
    <col min="9494" max="9494" width="13.5703125" style="10" customWidth="1"/>
    <col min="9495" max="9495" width="13.140625" style="10" customWidth="1"/>
    <col min="9496" max="9496" width="15.7109375" style="10" customWidth="1"/>
    <col min="9497" max="9497" width="37.5703125" style="10" customWidth="1"/>
    <col min="9498" max="9719" width="11.42578125" style="10"/>
    <col min="9720" max="9720" width="10.5703125" style="10" customWidth="1"/>
    <col min="9721" max="9721" width="4.85546875" style="10" customWidth="1"/>
    <col min="9722" max="9722" width="32.42578125" style="10" customWidth="1"/>
    <col min="9723" max="9723" width="9.85546875" style="10" customWidth="1"/>
    <col min="9724" max="9724" width="10.140625" style="10" customWidth="1"/>
    <col min="9725" max="9725" width="12.28515625" style="10" customWidth="1"/>
    <col min="9726" max="9726" width="15.42578125" style="10" customWidth="1"/>
    <col min="9727" max="9727" width="11.85546875" style="10" customWidth="1"/>
    <col min="9728" max="9728" width="13.28515625" style="10" customWidth="1"/>
    <col min="9729" max="9729" width="15.28515625" style="10" customWidth="1"/>
    <col min="9730" max="9730" width="11.85546875" style="10" customWidth="1"/>
    <col min="9731" max="9731" width="6.140625" style="10" customWidth="1"/>
    <col min="9732" max="9732" width="11.85546875" style="10" customWidth="1"/>
    <col min="9733" max="9733" width="9.42578125" style="10" customWidth="1"/>
    <col min="9734" max="9734" width="14.7109375" style="10" customWidth="1"/>
    <col min="9735" max="9735" width="11.5703125" style="10" customWidth="1"/>
    <col min="9736" max="9736" width="0.42578125" style="10" customWidth="1"/>
    <col min="9737" max="9737" width="10.5703125" style="10" bestFit="1" customWidth="1"/>
    <col min="9738" max="9738" width="12.28515625" style="10" customWidth="1"/>
    <col min="9739" max="9739" width="12.5703125" style="10" customWidth="1"/>
    <col min="9740" max="9740" width="10.5703125" style="10" customWidth="1"/>
    <col min="9741" max="9741" width="10.140625" style="10" customWidth="1"/>
    <col min="9742" max="9742" width="8.42578125" style="10" customWidth="1"/>
    <col min="9743" max="9743" width="18.85546875" style="10" customWidth="1"/>
    <col min="9744" max="9744" width="10.28515625" style="10" customWidth="1"/>
    <col min="9745" max="9745" width="11.42578125" style="10"/>
    <col min="9746" max="9746" width="12.140625" style="10" customWidth="1"/>
    <col min="9747" max="9747" width="10.5703125" style="10" customWidth="1"/>
    <col min="9748" max="9748" width="12.42578125" style="10" customWidth="1"/>
    <col min="9749" max="9749" width="15.140625" style="10" customWidth="1"/>
    <col min="9750" max="9750" width="13.5703125" style="10" customWidth="1"/>
    <col min="9751" max="9751" width="13.140625" style="10" customWidth="1"/>
    <col min="9752" max="9752" width="15.7109375" style="10" customWidth="1"/>
    <col min="9753" max="9753" width="37.5703125" style="10" customWidth="1"/>
    <col min="9754" max="9975" width="11.42578125" style="10"/>
    <col min="9976" max="9976" width="10.5703125" style="10" customWidth="1"/>
    <col min="9977" max="9977" width="4.85546875" style="10" customWidth="1"/>
    <col min="9978" max="9978" width="32.42578125" style="10" customWidth="1"/>
    <col min="9979" max="9979" width="9.85546875" style="10" customWidth="1"/>
    <col min="9980" max="9980" width="10.140625" style="10" customWidth="1"/>
    <col min="9981" max="9981" width="12.28515625" style="10" customWidth="1"/>
    <col min="9982" max="9982" width="15.42578125" style="10" customWidth="1"/>
    <col min="9983" max="9983" width="11.85546875" style="10" customWidth="1"/>
    <col min="9984" max="9984" width="13.28515625" style="10" customWidth="1"/>
    <col min="9985" max="9985" width="15.28515625" style="10" customWidth="1"/>
    <col min="9986" max="9986" width="11.85546875" style="10" customWidth="1"/>
    <col min="9987" max="9987" width="6.140625" style="10" customWidth="1"/>
    <col min="9988" max="9988" width="11.85546875" style="10" customWidth="1"/>
    <col min="9989" max="9989" width="9.42578125" style="10" customWidth="1"/>
    <col min="9990" max="9990" width="14.7109375" style="10" customWidth="1"/>
    <col min="9991" max="9991" width="11.5703125" style="10" customWidth="1"/>
    <col min="9992" max="9992" width="0.42578125" style="10" customWidth="1"/>
    <col min="9993" max="9993" width="10.5703125" style="10" bestFit="1" customWidth="1"/>
    <col min="9994" max="9994" width="12.28515625" style="10" customWidth="1"/>
    <col min="9995" max="9995" width="12.5703125" style="10" customWidth="1"/>
    <col min="9996" max="9996" width="10.5703125" style="10" customWidth="1"/>
    <col min="9997" max="9997" width="10.140625" style="10" customWidth="1"/>
    <col min="9998" max="9998" width="8.42578125" style="10" customWidth="1"/>
    <col min="9999" max="9999" width="18.85546875" style="10" customWidth="1"/>
    <col min="10000" max="10000" width="10.28515625" style="10" customWidth="1"/>
    <col min="10001" max="10001" width="11.42578125" style="10"/>
    <col min="10002" max="10002" width="12.140625" style="10" customWidth="1"/>
    <col min="10003" max="10003" width="10.5703125" style="10" customWidth="1"/>
    <col min="10004" max="10004" width="12.42578125" style="10" customWidth="1"/>
    <col min="10005" max="10005" width="15.140625" style="10" customWidth="1"/>
    <col min="10006" max="10006" width="13.5703125" style="10" customWidth="1"/>
    <col min="10007" max="10007" width="13.140625" style="10" customWidth="1"/>
    <col min="10008" max="10008" width="15.7109375" style="10" customWidth="1"/>
    <col min="10009" max="10009" width="37.5703125" style="10" customWidth="1"/>
    <col min="10010" max="10231" width="11.42578125" style="10"/>
    <col min="10232" max="10232" width="10.5703125" style="10" customWidth="1"/>
    <col min="10233" max="10233" width="4.85546875" style="10" customWidth="1"/>
    <col min="10234" max="10234" width="32.42578125" style="10" customWidth="1"/>
    <col min="10235" max="10235" width="9.85546875" style="10" customWidth="1"/>
    <col min="10236" max="10236" width="10.140625" style="10" customWidth="1"/>
    <col min="10237" max="10237" width="12.28515625" style="10" customWidth="1"/>
    <col min="10238" max="10238" width="15.42578125" style="10" customWidth="1"/>
    <col min="10239" max="10239" width="11.85546875" style="10" customWidth="1"/>
    <col min="10240" max="10240" width="13.28515625" style="10" customWidth="1"/>
    <col min="10241" max="10241" width="15.28515625" style="10" customWidth="1"/>
    <col min="10242" max="10242" width="11.85546875" style="10" customWidth="1"/>
    <col min="10243" max="10243" width="6.140625" style="10" customWidth="1"/>
    <col min="10244" max="10244" width="11.85546875" style="10" customWidth="1"/>
    <col min="10245" max="10245" width="9.42578125" style="10" customWidth="1"/>
    <col min="10246" max="10246" width="14.7109375" style="10" customWidth="1"/>
    <col min="10247" max="10247" width="11.5703125" style="10" customWidth="1"/>
    <col min="10248" max="10248" width="0.42578125" style="10" customWidth="1"/>
    <col min="10249" max="10249" width="10.5703125" style="10" bestFit="1" customWidth="1"/>
    <col min="10250" max="10250" width="12.28515625" style="10" customWidth="1"/>
    <col min="10251" max="10251" width="12.5703125" style="10" customWidth="1"/>
    <col min="10252" max="10252" width="10.5703125" style="10" customWidth="1"/>
    <col min="10253" max="10253" width="10.140625" style="10" customWidth="1"/>
    <col min="10254" max="10254" width="8.42578125" style="10" customWidth="1"/>
    <col min="10255" max="10255" width="18.85546875" style="10" customWidth="1"/>
    <col min="10256" max="10256" width="10.28515625" style="10" customWidth="1"/>
    <col min="10257" max="10257" width="11.42578125" style="10"/>
    <col min="10258" max="10258" width="12.140625" style="10" customWidth="1"/>
    <col min="10259" max="10259" width="10.5703125" style="10" customWidth="1"/>
    <col min="10260" max="10260" width="12.42578125" style="10" customWidth="1"/>
    <col min="10261" max="10261" width="15.140625" style="10" customWidth="1"/>
    <col min="10262" max="10262" width="13.5703125" style="10" customWidth="1"/>
    <col min="10263" max="10263" width="13.140625" style="10" customWidth="1"/>
    <col min="10264" max="10264" width="15.7109375" style="10" customWidth="1"/>
    <col min="10265" max="10265" width="37.5703125" style="10" customWidth="1"/>
    <col min="10266" max="10487" width="11.42578125" style="10"/>
    <col min="10488" max="10488" width="10.5703125" style="10" customWidth="1"/>
    <col min="10489" max="10489" width="4.85546875" style="10" customWidth="1"/>
    <col min="10490" max="10490" width="32.42578125" style="10" customWidth="1"/>
    <col min="10491" max="10491" width="9.85546875" style="10" customWidth="1"/>
    <col min="10492" max="10492" width="10.140625" style="10" customWidth="1"/>
    <col min="10493" max="10493" width="12.28515625" style="10" customWidth="1"/>
    <col min="10494" max="10494" width="15.42578125" style="10" customWidth="1"/>
    <col min="10495" max="10495" width="11.85546875" style="10" customWidth="1"/>
    <col min="10496" max="10496" width="13.28515625" style="10" customWidth="1"/>
    <col min="10497" max="10497" width="15.28515625" style="10" customWidth="1"/>
    <col min="10498" max="10498" width="11.85546875" style="10" customWidth="1"/>
    <col min="10499" max="10499" width="6.140625" style="10" customWidth="1"/>
    <col min="10500" max="10500" width="11.85546875" style="10" customWidth="1"/>
    <col min="10501" max="10501" width="9.42578125" style="10" customWidth="1"/>
    <col min="10502" max="10502" width="14.7109375" style="10" customWidth="1"/>
    <col min="10503" max="10503" width="11.5703125" style="10" customWidth="1"/>
    <col min="10504" max="10504" width="0.42578125" style="10" customWidth="1"/>
    <col min="10505" max="10505" width="10.5703125" style="10" bestFit="1" customWidth="1"/>
    <col min="10506" max="10506" width="12.28515625" style="10" customWidth="1"/>
    <col min="10507" max="10507" width="12.5703125" style="10" customWidth="1"/>
    <col min="10508" max="10508" width="10.5703125" style="10" customWidth="1"/>
    <col min="10509" max="10509" width="10.140625" style="10" customWidth="1"/>
    <col min="10510" max="10510" width="8.42578125" style="10" customWidth="1"/>
    <col min="10511" max="10511" width="18.85546875" style="10" customWidth="1"/>
    <col min="10512" max="10512" width="10.28515625" style="10" customWidth="1"/>
    <col min="10513" max="10513" width="11.42578125" style="10"/>
    <col min="10514" max="10514" width="12.140625" style="10" customWidth="1"/>
    <col min="10515" max="10515" width="10.5703125" style="10" customWidth="1"/>
    <col min="10516" max="10516" width="12.42578125" style="10" customWidth="1"/>
    <col min="10517" max="10517" width="15.140625" style="10" customWidth="1"/>
    <col min="10518" max="10518" width="13.5703125" style="10" customWidth="1"/>
    <col min="10519" max="10519" width="13.140625" style="10" customWidth="1"/>
    <col min="10520" max="10520" width="15.7109375" style="10" customWidth="1"/>
    <col min="10521" max="10521" width="37.5703125" style="10" customWidth="1"/>
    <col min="10522" max="10743" width="11.42578125" style="10"/>
    <col min="10744" max="10744" width="10.5703125" style="10" customWidth="1"/>
    <col min="10745" max="10745" width="4.85546875" style="10" customWidth="1"/>
    <col min="10746" max="10746" width="32.42578125" style="10" customWidth="1"/>
    <col min="10747" max="10747" width="9.85546875" style="10" customWidth="1"/>
    <col min="10748" max="10748" width="10.140625" style="10" customWidth="1"/>
    <col min="10749" max="10749" width="12.28515625" style="10" customWidth="1"/>
    <col min="10750" max="10750" width="15.42578125" style="10" customWidth="1"/>
    <col min="10751" max="10751" width="11.85546875" style="10" customWidth="1"/>
    <col min="10752" max="10752" width="13.28515625" style="10" customWidth="1"/>
    <col min="10753" max="10753" width="15.28515625" style="10" customWidth="1"/>
    <col min="10754" max="10754" width="11.85546875" style="10" customWidth="1"/>
    <col min="10755" max="10755" width="6.140625" style="10" customWidth="1"/>
    <col min="10756" max="10756" width="11.85546875" style="10" customWidth="1"/>
    <col min="10757" max="10757" width="9.42578125" style="10" customWidth="1"/>
    <col min="10758" max="10758" width="14.7109375" style="10" customWidth="1"/>
    <col min="10759" max="10759" width="11.5703125" style="10" customWidth="1"/>
    <col min="10760" max="10760" width="0.42578125" style="10" customWidth="1"/>
    <col min="10761" max="10761" width="10.5703125" style="10" bestFit="1" customWidth="1"/>
    <col min="10762" max="10762" width="12.28515625" style="10" customWidth="1"/>
    <col min="10763" max="10763" width="12.5703125" style="10" customWidth="1"/>
    <col min="10764" max="10764" width="10.5703125" style="10" customWidth="1"/>
    <col min="10765" max="10765" width="10.140625" style="10" customWidth="1"/>
    <col min="10766" max="10766" width="8.42578125" style="10" customWidth="1"/>
    <col min="10767" max="10767" width="18.85546875" style="10" customWidth="1"/>
    <col min="10768" max="10768" width="10.28515625" style="10" customWidth="1"/>
    <col min="10769" max="10769" width="11.42578125" style="10"/>
    <col min="10770" max="10770" width="12.140625" style="10" customWidth="1"/>
    <col min="10771" max="10771" width="10.5703125" style="10" customWidth="1"/>
    <col min="10772" max="10772" width="12.42578125" style="10" customWidth="1"/>
    <col min="10773" max="10773" width="15.140625" style="10" customWidth="1"/>
    <col min="10774" max="10774" width="13.5703125" style="10" customWidth="1"/>
    <col min="10775" max="10775" width="13.140625" style="10" customWidth="1"/>
    <col min="10776" max="10776" width="15.7109375" style="10" customWidth="1"/>
    <col min="10777" max="10777" width="37.5703125" style="10" customWidth="1"/>
    <col min="10778" max="10999" width="11.42578125" style="10"/>
    <col min="11000" max="11000" width="10.5703125" style="10" customWidth="1"/>
    <col min="11001" max="11001" width="4.85546875" style="10" customWidth="1"/>
    <col min="11002" max="11002" width="32.42578125" style="10" customWidth="1"/>
    <col min="11003" max="11003" width="9.85546875" style="10" customWidth="1"/>
    <col min="11004" max="11004" width="10.140625" style="10" customWidth="1"/>
    <col min="11005" max="11005" width="12.28515625" style="10" customWidth="1"/>
    <col min="11006" max="11006" width="15.42578125" style="10" customWidth="1"/>
    <col min="11007" max="11007" width="11.85546875" style="10" customWidth="1"/>
    <col min="11008" max="11008" width="13.28515625" style="10" customWidth="1"/>
    <col min="11009" max="11009" width="15.28515625" style="10" customWidth="1"/>
    <col min="11010" max="11010" width="11.85546875" style="10" customWidth="1"/>
    <col min="11011" max="11011" width="6.140625" style="10" customWidth="1"/>
    <col min="11012" max="11012" width="11.85546875" style="10" customWidth="1"/>
    <col min="11013" max="11013" width="9.42578125" style="10" customWidth="1"/>
    <col min="11014" max="11014" width="14.7109375" style="10" customWidth="1"/>
    <col min="11015" max="11015" width="11.5703125" style="10" customWidth="1"/>
    <col min="11016" max="11016" width="0.42578125" style="10" customWidth="1"/>
    <col min="11017" max="11017" width="10.5703125" style="10" bestFit="1" customWidth="1"/>
    <col min="11018" max="11018" width="12.28515625" style="10" customWidth="1"/>
    <col min="11019" max="11019" width="12.5703125" style="10" customWidth="1"/>
    <col min="11020" max="11020" width="10.5703125" style="10" customWidth="1"/>
    <col min="11021" max="11021" width="10.140625" style="10" customWidth="1"/>
    <col min="11022" max="11022" width="8.42578125" style="10" customWidth="1"/>
    <col min="11023" max="11023" width="18.85546875" style="10" customWidth="1"/>
    <col min="11024" max="11024" width="10.28515625" style="10" customWidth="1"/>
    <col min="11025" max="11025" width="11.42578125" style="10"/>
    <col min="11026" max="11026" width="12.140625" style="10" customWidth="1"/>
    <col min="11027" max="11027" width="10.5703125" style="10" customWidth="1"/>
    <col min="11028" max="11028" width="12.42578125" style="10" customWidth="1"/>
    <col min="11029" max="11029" width="15.140625" style="10" customWidth="1"/>
    <col min="11030" max="11030" width="13.5703125" style="10" customWidth="1"/>
    <col min="11031" max="11031" width="13.140625" style="10" customWidth="1"/>
    <col min="11032" max="11032" width="15.7109375" style="10" customWidth="1"/>
    <col min="11033" max="11033" width="37.5703125" style="10" customWidth="1"/>
    <col min="11034" max="11255" width="11.42578125" style="10"/>
    <col min="11256" max="11256" width="10.5703125" style="10" customWidth="1"/>
    <col min="11257" max="11257" width="4.85546875" style="10" customWidth="1"/>
    <col min="11258" max="11258" width="32.42578125" style="10" customWidth="1"/>
    <col min="11259" max="11259" width="9.85546875" style="10" customWidth="1"/>
    <col min="11260" max="11260" width="10.140625" style="10" customWidth="1"/>
    <col min="11261" max="11261" width="12.28515625" style="10" customWidth="1"/>
    <col min="11262" max="11262" width="15.42578125" style="10" customWidth="1"/>
    <col min="11263" max="11263" width="11.85546875" style="10" customWidth="1"/>
    <col min="11264" max="11264" width="13.28515625" style="10" customWidth="1"/>
    <col min="11265" max="11265" width="15.28515625" style="10" customWidth="1"/>
    <col min="11266" max="11266" width="11.85546875" style="10" customWidth="1"/>
    <col min="11267" max="11267" width="6.140625" style="10" customWidth="1"/>
    <col min="11268" max="11268" width="11.85546875" style="10" customWidth="1"/>
    <col min="11269" max="11269" width="9.42578125" style="10" customWidth="1"/>
    <col min="11270" max="11270" width="14.7109375" style="10" customWidth="1"/>
    <col min="11271" max="11271" width="11.5703125" style="10" customWidth="1"/>
    <col min="11272" max="11272" width="0.42578125" style="10" customWidth="1"/>
    <col min="11273" max="11273" width="10.5703125" style="10" bestFit="1" customWidth="1"/>
    <col min="11274" max="11274" width="12.28515625" style="10" customWidth="1"/>
    <col min="11275" max="11275" width="12.5703125" style="10" customWidth="1"/>
    <col min="11276" max="11276" width="10.5703125" style="10" customWidth="1"/>
    <col min="11277" max="11277" width="10.140625" style="10" customWidth="1"/>
    <col min="11278" max="11278" width="8.42578125" style="10" customWidth="1"/>
    <col min="11279" max="11279" width="18.85546875" style="10" customWidth="1"/>
    <col min="11280" max="11280" width="10.28515625" style="10" customWidth="1"/>
    <col min="11281" max="11281" width="11.42578125" style="10"/>
    <col min="11282" max="11282" width="12.140625" style="10" customWidth="1"/>
    <col min="11283" max="11283" width="10.5703125" style="10" customWidth="1"/>
    <col min="11284" max="11284" width="12.42578125" style="10" customWidth="1"/>
    <col min="11285" max="11285" width="15.140625" style="10" customWidth="1"/>
    <col min="11286" max="11286" width="13.5703125" style="10" customWidth="1"/>
    <col min="11287" max="11287" width="13.140625" style="10" customWidth="1"/>
    <col min="11288" max="11288" width="15.7109375" style="10" customWidth="1"/>
    <col min="11289" max="11289" width="37.5703125" style="10" customWidth="1"/>
    <col min="11290" max="11511" width="11.42578125" style="10"/>
    <col min="11512" max="11512" width="10.5703125" style="10" customWidth="1"/>
    <col min="11513" max="11513" width="4.85546875" style="10" customWidth="1"/>
    <col min="11514" max="11514" width="32.42578125" style="10" customWidth="1"/>
    <col min="11515" max="11515" width="9.85546875" style="10" customWidth="1"/>
    <col min="11516" max="11516" width="10.140625" style="10" customWidth="1"/>
    <col min="11517" max="11517" width="12.28515625" style="10" customWidth="1"/>
    <col min="11518" max="11518" width="15.42578125" style="10" customWidth="1"/>
    <col min="11519" max="11519" width="11.85546875" style="10" customWidth="1"/>
    <col min="11520" max="11520" width="13.28515625" style="10" customWidth="1"/>
    <col min="11521" max="11521" width="15.28515625" style="10" customWidth="1"/>
    <col min="11522" max="11522" width="11.85546875" style="10" customWidth="1"/>
    <col min="11523" max="11523" width="6.140625" style="10" customWidth="1"/>
    <col min="11524" max="11524" width="11.85546875" style="10" customWidth="1"/>
    <col min="11525" max="11525" width="9.42578125" style="10" customWidth="1"/>
    <col min="11526" max="11526" width="14.7109375" style="10" customWidth="1"/>
    <col min="11527" max="11527" width="11.5703125" style="10" customWidth="1"/>
    <col min="11528" max="11528" width="0.42578125" style="10" customWidth="1"/>
    <col min="11529" max="11529" width="10.5703125" style="10" bestFit="1" customWidth="1"/>
    <col min="11530" max="11530" width="12.28515625" style="10" customWidth="1"/>
    <col min="11531" max="11531" width="12.5703125" style="10" customWidth="1"/>
    <col min="11532" max="11532" width="10.5703125" style="10" customWidth="1"/>
    <col min="11533" max="11533" width="10.140625" style="10" customWidth="1"/>
    <col min="11534" max="11534" width="8.42578125" style="10" customWidth="1"/>
    <col min="11535" max="11535" width="18.85546875" style="10" customWidth="1"/>
    <col min="11536" max="11536" width="10.28515625" style="10" customWidth="1"/>
    <col min="11537" max="11537" width="11.42578125" style="10"/>
    <col min="11538" max="11538" width="12.140625" style="10" customWidth="1"/>
    <col min="11539" max="11539" width="10.5703125" style="10" customWidth="1"/>
    <col min="11540" max="11540" width="12.42578125" style="10" customWidth="1"/>
    <col min="11541" max="11541" width="15.140625" style="10" customWidth="1"/>
    <col min="11542" max="11542" width="13.5703125" style="10" customWidth="1"/>
    <col min="11543" max="11543" width="13.140625" style="10" customWidth="1"/>
    <col min="11544" max="11544" width="15.7109375" style="10" customWidth="1"/>
    <col min="11545" max="11545" width="37.5703125" style="10" customWidth="1"/>
    <col min="11546" max="11767" width="11.42578125" style="10"/>
    <col min="11768" max="11768" width="10.5703125" style="10" customWidth="1"/>
    <col min="11769" max="11769" width="4.85546875" style="10" customWidth="1"/>
    <col min="11770" max="11770" width="32.42578125" style="10" customWidth="1"/>
    <col min="11771" max="11771" width="9.85546875" style="10" customWidth="1"/>
    <col min="11772" max="11772" width="10.140625" style="10" customWidth="1"/>
    <col min="11773" max="11773" width="12.28515625" style="10" customWidth="1"/>
    <col min="11774" max="11774" width="15.42578125" style="10" customWidth="1"/>
    <col min="11775" max="11775" width="11.85546875" style="10" customWidth="1"/>
    <col min="11776" max="11776" width="13.28515625" style="10" customWidth="1"/>
    <col min="11777" max="11777" width="15.28515625" style="10" customWidth="1"/>
    <col min="11778" max="11778" width="11.85546875" style="10" customWidth="1"/>
    <col min="11779" max="11779" width="6.140625" style="10" customWidth="1"/>
    <col min="11780" max="11780" width="11.85546875" style="10" customWidth="1"/>
    <col min="11781" max="11781" width="9.42578125" style="10" customWidth="1"/>
    <col min="11782" max="11782" width="14.7109375" style="10" customWidth="1"/>
    <col min="11783" max="11783" width="11.5703125" style="10" customWidth="1"/>
    <col min="11784" max="11784" width="0.42578125" style="10" customWidth="1"/>
    <col min="11785" max="11785" width="10.5703125" style="10" bestFit="1" customWidth="1"/>
    <col min="11786" max="11786" width="12.28515625" style="10" customWidth="1"/>
    <col min="11787" max="11787" width="12.5703125" style="10" customWidth="1"/>
    <col min="11788" max="11788" width="10.5703125" style="10" customWidth="1"/>
    <col min="11789" max="11789" width="10.140625" style="10" customWidth="1"/>
    <col min="11790" max="11790" width="8.42578125" style="10" customWidth="1"/>
    <col min="11791" max="11791" width="18.85546875" style="10" customWidth="1"/>
    <col min="11792" max="11792" width="10.28515625" style="10" customWidth="1"/>
    <col min="11793" max="11793" width="11.42578125" style="10"/>
    <col min="11794" max="11794" width="12.140625" style="10" customWidth="1"/>
    <col min="11795" max="11795" width="10.5703125" style="10" customWidth="1"/>
    <col min="11796" max="11796" width="12.42578125" style="10" customWidth="1"/>
    <col min="11797" max="11797" width="15.140625" style="10" customWidth="1"/>
    <col min="11798" max="11798" width="13.5703125" style="10" customWidth="1"/>
    <col min="11799" max="11799" width="13.140625" style="10" customWidth="1"/>
    <col min="11800" max="11800" width="15.7109375" style="10" customWidth="1"/>
    <col min="11801" max="11801" width="37.5703125" style="10" customWidth="1"/>
    <col min="11802" max="12023" width="11.42578125" style="10"/>
    <col min="12024" max="12024" width="10.5703125" style="10" customWidth="1"/>
    <col min="12025" max="12025" width="4.85546875" style="10" customWidth="1"/>
    <col min="12026" max="12026" width="32.42578125" style="10" customWidth="1"/>
    <col min="12027" max="12027" width="9.85546875" style="10" customWidth="1"/>
    <col min="12028" max="12028" width="10.140625" style="10" customWidth="1"/>
    <col min="12029" max="12029" width="12.28515625" style="10" customWidth="1"/>
    <col min="12030" max="12030" width="15.42578125" style="10" customWidth="1"/>
    <col min="12031" max="12031" width="11.85546875" style="10" customWidth="1"/>
    <col min="12032" max="12032" width="13.28515625" style="10" customWidth="1"/>
    <col min="12033" max="12033" width="15.28515625" style="10" customWidth="1"/>
    <col min="12034" max="12034" width="11.85546875" style="10" customWidth="1"/>
    <col min="12035" max="12035" width="6.140625" style="10" customWidth="1"/>
    <col min="12036" max="12036" width="11.85546875" style="10" customWidth="1"/>
    <col min="12037" max="12037" width="9.42578125" style="10" customWidth="1"/>
    <col min="12038" max="12038" width="14.7109375" style="10" customWidth="1"/>
    <col min="12039" max="12039" width="11.5703125" style="10" customWidth="1"/>
    <col min="12040" max="12040" width="0.42578125" style="10" customWidth="1"/>
    <col min="12041" max="12041" width="10.5703125" style="10" bestFit="1" customWidth="1"/>
    <col min="12042" max="12042" width="12.28515625" style="10" customWidth="1"/>
    <col min="12043" max="12043" width="12.5703125" style="10" customWidth="1"/>
    <col min="12044" max="12044" width="10.5703125" style="10" customWidth="1"/>
    <col min="12045" max="12045" width="10.140625" style="10" customWidth="1"/>
    <col min="12046" max="12046" width="8.42578125" style="10" customWidth="1"/>
    <col min="12047" max="12047" width="18.85546875" style="10" customWidth="1"/>
    <col min="12048" max="12048" width="10.28515625" style="10" customWidth="1"/>
    <col min="12049" max="12049" width="11.42578125" style="10"/>
    <col min="12050" max="12050" width="12.140625" style="10" customWidth="1"/>
    <col min="12051" max="12051" width="10.5703125" style="10" customWidth="1"/>
    <col min="12052" max="12052" width="12.42578125" style="10" customWidth="1"/>
    <col min="12053" max="12053" width="15.140625" style="10" customWidth="1"/>
    <col min="12054" max="12054" width="13.5703125" style="10" customWidth="1"/>
    <col min="12055" max="12055" width="13.140625" style="10" customWidth="1"/>
    <col min="12056" max="12056" width="15.7109375" style="10" customWidth="1"/>
    <col min="12057" max="12057" width="37.5703125" style="10" customWidth="1"/>
    <col min="12058" max="12279" width="11.42578125" style="10"/>
    <col min="12280" max="12280" width="10.5703125" style="10" customWidth="1"/>
    <col min="12281" max="12281" width="4.85546875" style="10" customWidth="1"/>
    <col min="12282" max="12282" width="32.42578125" style="10" customWidth="1"/>
    <col min="12283" max="12283" width="9.85546875" style="10" customWidth="1"/>
    <col min="12284" max="12284" width="10.140625" style="10" customWidth="1"/>
    <col min="12285" max="12285" width="12.28515625" style="10" customWidth="1"/>
    <col min="12286" max="12286" width="15.42578125" style="10" customWidth="1"/>
    <col min="12287" max="12287" width="11.85546875" style="10" customWidth="1"/>
    <col min="12288" max="12288" width="13.28515625" style="10" customWidth="1"/>
    <col min="12289" max="12289" width="15.28515625" style="10" customWidth="1"/>
    <col min="12290" max="12290" width="11.85546875" style="10" customWidth="1"/>
    <col min="12291" max="12291" width="6.140625" style="10" customWidth="1"/>
    <col min="12292" max="12292" width="11.85546875" style="10" customWidth="1"/>
    <col min="12293" max="12293" width="9.42578125" style="10" customWidth="1"/>
    <col min="12294" max="12294" width="14.7109375" style="10" customWidth="1"/>
    <col min="12295" max="12295" width="11.5703125" style="10" customWidth="1"/>
    <col min="12296" max="12296" width="0.42578125" style="10" customWidth="1"/>
    <col min="12297" max="12297" width="10.5703125" style="10" bestFit="1" customWidth="1"/>
    <col min="12298" max="12298" width="12.28515625" style="10" customWidth="1"/>
    <col min="12299" max="12299" width="12.5703125" style="10" customWidth="1"/>
    <col min="12300" max="12300" width="10.5703125" style="10" customWidth="1"/>
    <col min="12301" max="12301" width="10.140625" style="10" customWidth="1"/>
    <col min="12302" max="12302" width="8.42578125" style="10" customWidth="1"/>
    <col min="12303" max="12303" width="18.85546875" style="10" customWidth="1"/>
    <col min="12304" max="12304" width="10.28515625" style="10" customWidth="1"/>
    <col min="12305" max="12305" width="11.42578125" style="10"/>
    <col min="12306" max="12306" width="12.140625" style="10" customWidth="1"/>
    <col min="12307" max="12307" width="10.5703125" style="10" customWidth="1"/>
    <col min="12308" max="12308" width="12.42578125" style="10" customWidth="1"/>
    <col min="12309" max="12309" width="15.140625" style="10" customWidth="1"/>
    <col min="12310" max="12310" width="13.5703125" style="10" customWidth="1"/>
    <col min="12311" max="12311" width="13.140625" style="10" customWidth="1"/>
    <col min="12312" max="12312" width="15.7109375" style="10" customWidth="1"/>
    <col min="12313" max="12313" width="37.5703125" style="10" customWidth="1"/>
    <col min="12314" max="12535" width="11.42578125" style="10"/>
    <col min="12536" max="12536" width="10.5703125" style="10" customWidth="1"/>
    <col min="12537" max="12537" width="4.85546875" style="10" customWidth="1"/>
    <col min="12538" max="12538" width="32.42578125" style="10" customWidth="1"/>
    <col min="12539" max="12539" width="9.85546875" style="10" customWidth="1"/>
    <col min="12540" max="12540" width="10.140625" style="10" customWidth="1"/>
    <col min="12541" max="12541" width="12.28515625" style="10" customWidth="1"/>
    <col min="12542" max="12542" width="15.42578125" style="10" customWidth="1"/>
    <col min="12543" max="12543" width="11.85546875" style="10" customWidth="1"/>
    <col min="12544" max="12544" width="13.28515625" style="10" customWidth="1"/>
    <col min="12545" max="12545" width="15.28515625" style="10" customWidth="1"/>
    <col min="12546" max="12546" width="11.85546875" style="10" customWidth="1"/>
    <col min="12547" max="12547" width="6.140625" style="10" customWidth="1"/>
    <col min="12548" max="12548" width="11.85546875" style="10" customWidth="1"/>
    <col min="12549" max="12549" width="9.42578125" style="10" customWidth="1"/>
    <col min="12550" max="12550" width="14.7109375" style="10" customWidth="1"/>
    <col min="12551" max="12551" width="11.5703125" style="10" customWidth="1"/>
    <col min="12552" max="12552" width="0.42578125" style="10" customWidth="1"/>
    <col min="12553" max="12553" width="10.5703125" style="10" bestFit="1" customWidth="1"/>
    <col min="12554" max="12554" width="12.28515625" style="10" customWidth="1"/>
    <col min="12555" max="12555" width="12.5703125" style="10" customWidth="1"/>
    <col min="12556" max="12556" width="10.5703125" style="10" customWidth="1"/>
    <col min="12557" max="12557" width="10.140625" style="10" customWidth="1"/>
    <col min="12558" max="12558" width="8.42578125" style="10" customWidth="1"/>
    <col min="12559" max="12559" width="18.85546875" style="10" customWidth="1"/>
    <col min="12560" max="12560" width="10.28515625" style="10" customWidth="1"/>
    <col min="12561" max="12561" width="11.42578125" style="10"/>
    <col min="12562" max="12562" width="12.140625" style="10" customWidth="1"/>
    <col min="12563" max="12563" width="10.5703125" style="10" customWidth="1"/>
    <col min="12564" max="12564" width="12.42578125" style="10" customWidth="1"/>
    <col min="12565" max="12565" width="15.140625" style="10" customWidth="1"/>
    <col min="12566" max="12566" width="13.5703125" style="10" customWidth="1"/>
    <col min="12567" max="12567" width="13.140625" style="10" customWidth="1"/>
    <col min="12568" max="12568" width="15.7109375" style="10" customWidth="1"/>
    <col min="12569" max="12569" width="37.5703125" style="10" customWidth="1"/>
    <col min="12570" max="12791" width="11.42578125" style="10"/>
    <col min="12792" max="12792" width="10.5703125" style="10" customWidth="1"/>
    <col min="12793" max="12793" width="4.85546875" style="10" customWidth="1"/>
    <col min="12794" max="12794" width="32.42578125" style="10" customWidth="1"/>
    <col min="12795" max="12795" width="9.85546875" style="10" customWidth="1"/>
    <col min="12796" max="12796" width="10.140625" style="10" customWidth="1"/>
    <col min="12797" max="12797" width="12.28515625" style="10" customWidth="1"/>
    <col min="12798" max="12798" width="15.42578125" style="10" customWidth="1"/>
    <col min="12799" max="12799" width="11.85546875" style="10" customWidth="1"/>
    <col min="12800" max="12800" width="13.28515625" style="10" customWidth="1"/>
    <col min="12801" max="12801" width="15.28515625" style="10" customWidth="1"/>
    <col min="12802" max="12802" width="11.85546875" style="10" customWidth="1"/>
    <col min="12803" max="12803" width="6.140625" style="10" customWidth="1"/>
    <col min="12804" max="12804" width="11.85546875" style="10" customWidth="1"/>
    <col min="12805" max="12805" width="9.42578125" style="10" customWidth="1"/>
    <col min="12806" max="12806" width="14.7109375" style="10" customWidth="1"/>
    <col min="12807" max="12807" width="11.5703125" style="10" customWidth="1"/>
    <col min="12808" max="12808" width="0.42578125" style="10" customWidth="1"/>
    <col min="12809" max="12809" width="10.5703125" style="10" bestFit="1" customWidth="1"/>
    <col min="12810" max="12810" width="12.28515625" style="10" customWidth="1"/>
    <col min="12811" max="12811" width="12.5703125" style="10" customWidth="1"/>
    <col min="12812" max="12812" width="10.5703125" style="10" customWidth="1"/>
    <col min="12813" max="12813" width="10.140625" style="10" customWidth="1"/>
    <col min="12814" max="12814" width="8.42578125" style="10" customWidth="1"/>
    <col min="12815" max="12815" width="18.85546875" style="10" customWidth="1"/>
    <col min="12816" max="12816" width="10.28515625" style="10" customWidth="1"/>
    <col min="12817" max="12817" width="11.42578125" style="10"/>
    <col min="12818" max="12818" width="12.140625" style="10" customWidth="1"/>
    <col min="12819" max="12819" width="10.5703125" style="10" customWidth="1"/>
    <col min="12820" max="12820" width="12.42578125" style="10" customWidth="1"/>
    <col min="12821" max="12821" width="15.140625" style="10" customWidth="1"/>
    <col min="12822" max="12822" width="13.5703125" style="10" customWidth="1"/>
    <col min="12823" max="12823" width="13.140625" style="10" customWidth="1"/>
    <col min="12824" max="12824" width="15.7109375" style="10" customWidth="1"/>
    <col min="12825" max="12825" width="37.5703125" style="10" customWidth="1"/>
    <col min="12826" max="13047" width="11.42578125" style="10"/>
    <col min="13048" max="13048" width="10.5703125" style="10" customWidth="1"/>
    <col min="13049" max="13049" width="4.85546875" style="10" customWidth="1"/>
    <col min="13050" max="13050" width="32.42578125" style="10" customWidth="1"/>
    <col min="13051" max="13051" width="9.85546875" style="10" customWidth="1"/>
    <col min="13052" max="13052" width="10.140625" style="10" customWidth="1"/>
    <col min="13053" max="13053" width="12.28515625" style="10" customWidth="1"/>
    <col min="13054" max="13054" width="15.42578125" style="10" customWidth="1"/>
    <col min="13055" max="13055" width="11.85546875" style="10" customWidth="1"/>
    <col min="13056" max="13056" width="13.28515625" style="10" customWidth="1"/>
    <col min="13057" max="13057" width="15.28515625" style="10" customWidth="1"/>
    <col min="13058" max="13058" width="11.85546875" style="10" customWidth="1"/>
    <col min="13059" max="13059" width="6.140625" style="10" customWidth="1"/>
    <col min="13060" max="13060" width="11.85546875" style="10" customWidth="1"/>
    <col min="13061" max="13061" width="9.42578125" style="10" customWidth="1"/>
    <col min="13062" max="13062" width="14.7109375" style="10" customWidth="1"/>
    <col min="13063" max="13063" width="11.5703125" style="10" customWidth="1"/>
    <col min="13064" max="13064" width="0.42578125" style="10" customWidth="1"/>
    <col min="13065" max="13065" width="10.5703125" style="10" bestFit="1" customWidth="1"/>
    <col min="13066" max="13066" width="12.28515625" style="10" customWidth="1"/>
    <col min="13067" max="13067" width="12.5703125" style="10" customWidth="1"/>
    <col min="13068" max="13068" width="10.5703125" style="10" customWidth="1"/>
    <col min="13069" max="13069" width="10.140625" style="10" customWidth="1"/>
    <col min="13070" max="13070" width="8.42578125" style="10" customWidth="1"/>
    <col min="13071" max="13071" width="18.85546875" style="10" customWidth="1"/>
    <col min="13072" max="13072" width="10.28515625" style="10" customWidth="1"/>
    <col min="13073" max="13073" width="11.42578125" style="10"/>
    <col min="13074" max="13074" width="12.140625" style="10" customWidth="1"/>
    <col min="13075" max="13075" width="10.5703125" style="10" customWidth="1"/>
    <col min="13076" max="13076" width="12.42578125" style="10" customWidth="1"/>
    <col min="13077" max="13077" width="15.140625" style="10" customWidth="1"/>
    <col min="13078" max="13078" width="13.5703125" style="10" customWidth="1"/>
    <col min="13079" max="13079" width="13.140625" style="10" customWidth="1"/>
    <col min="13080" max="13080" width="15.7109375" style="10" customWidth="1"/>
    <col min="13081" max="13081" width="37.5703125" style="10" customWidth="1"/>
    <col min="13082" max="13303" width="11.42578125" style="10"/>
    <col min="13304" max="13304" width="10.5703125" style="10" customWidth="1"/>
    <col min="13305" max="13305" width="4.85546875" style="10" customWidth="1"/>
    <col min="13306" max="13306" width="32.42578125" style="10" customWidth="1"/>
    <col min="13307" max="13307" width="9.85546875" style="10" customWidth="1"/>
    <col min="13308" max="13308" width="10.140625" style="10" customWidth="1"/>
    <col min="13309" max="13309" width="12.28515625" style="10" customWidth="1"/>
    <col min="13310" max="13310" width="15.42578125" style="10" customWidth="1"/>
    <col min="13311" max="13311" width="11.85546875" style="10" customWidth="1"/>
    <col min="13312" max="13312" width="13.28515625" style="10" customWidth="1"/>
    <col min="13313" max="13313" width="15.28515625" style="10" customWidth="1"/>
    <col min="13314" max="13314" width="11.85546875" style="10" customWidth="1"/>
    <col min="13315" max="13315" width="6.140625" style="10" customWidth="1"/>
    <col min="13316" max="13316" width="11.85546875" style="10" customWidth="1"/>
    <col min="13317" max="13317" width="9.42578125" style="10" customWidth="1"/>
    <col min="13318" max="13318" width="14.7109375" style="10" customWidth="1"/>
    <col min="13319" max="13319" width="11.5703125" style="10" customWidth="1"/>
    <col min="13320" max="13320" width="0.42578125" style="10" customWidth="1"/>
    <col min="13321" max="13321" width="10.5703125" style="10" bestFit="1" customWidth="1"/>
    <col min="13322" max="13322" width="12.28515625" style="10" customWidth="1"/>
    <col min="13323" max="13323" width="12.5703125" style="10" customWidth="1"/>
    <col min="13324" max="13324" width="10.5703125" style="10" customWidth="1"/>
    <col min="13325" max="13325" width="10.140625" style="10" customWidth="1"/>
    <col min="13326" max="13326" width="8.42578125" style="10" customWidth="1"/>
    <col min="13327" max="13327" width="18.85546875" style="10" customWidth="1"/>
    <col min="13328" max="13328" width="10.28515625" style="10" customWidth="1"/>
    <col min="13329" max="13329" width="11.42578125" style="10"/>
    <col min="13330" max="13330" width="12.140625" style="10" customWidth="1"/>
    <col min="13331" max="13331" width="10.5703125" style="10" customWidth="1"/>
    <col min="13332" max="13332" width="12.42578125" style="10" customWidth="1"/>
    <col min="13333" max="13333" width="15.140625" style="10" customWidth="1"/>
    <col min="13334" max="13334" width="13.5703125" style="10" customWidth="1"/>
    <col min="13335" max="13335" width="13.140625" style="10" customWidth="1"/>
    <col min="13336" max="13336" width="15.7109375" style="10" customWidth="1"/>
    <col min="13337" max="13337" width="37.5703125" style="10" customWidth="1"/>
    <col min="13338" max="13559" width="11.42578125" style="10"/>
    <col min="13560" max="13560" width="10.5703125" style="10" customWidth="1"/>
    <col min="13561" max="13561" width="4.85546875" style="10" customWidth="1"/>
    <col min="13562" max="13562" width="32.42578125" style="10" customWidth="1"/>
    <col min="13563" max="13563" width="9.85546875" style="10" customWidth="1"/>
    <col min="13564" max="13564" width="10.140625" style="10" customWidth="1"/>
    <col min="13565" max="13565" width="12.28515625" style="10" customWidth="1"/>
    <col min="13566" max="13566" width="15.42578125" style="10" customWidth="1"/>
    <col min="13567" max="13567" width="11.85546875" style="10" customWidth="1"/>
    <col min="13568" max="13568" width="13.28515625" style="10" customWidth="1"/>
    <col min="13569" max="13569" width="15.28515625" style="10" customWidth="1"/>
    <col min="13570" max="13570" width="11.85546875" style="10" customWidth="1"/>
    <col min="13571" max="13571" width="6.140625" style="10" customWidth="1"/>
    <col min="13572" max="13572" width="11.85546875" style="10" customWidth="1"/>
    <col min="13573" max="13573" width="9.42578125" style="10" customWidth="1"/>
    <col min="13574" max="13574" width="14.7109375" style="10" customWidth="1"/>
    <col min="13575" max="13575" width="11.5703125" style="10" customWidth="1"/>
    <col min="13576" max="13576" width="0.42578125" style="10" customWidth="1"/>
    <col min="13577" max="13577" width="10.5703125" style="10" bestFit="1" customWidth="1"/>
    <col min="13578" max="13578" width="12.28515625" style="10" customWidth="1"/>
    <col min="13579" max="13579" width="12.5703125" style="10" customWidth="1"/>
    <col min="13580" max="13580" width="10.5703125" style="10" customWidth="1"/>
    <col min="13581" max="13581" width="10.140625" style="10" customWidth="1"/>
    <col min="13582" max="13582" width="8.42578125" style="10" customWidth="1"/>
    <col min="13583" max="13583" width="18.85546875" style="10" customWidth="1"/>
    <col min="13584" max="13584" width="10.28515625" style="10" customWidth="1"/>
    <col min="13585" max="13585" width="11.42578125" style="10"/>
    <col min="13586" max="13586" width="12.140625" style="10" customWidth="1"/>
    <col min="13587" max="13587" width="10.5703125" style="10" customWidth="1"/>
    <col min="13588" max="13588" width="12.42578125" style="10" customWidth="1"/>
    <col min="13589" max="13589" width="15.140625" style="10" customWidth="1"/>
    <col min="13590" max="13590" width="13.5703125" style="10" customWidth="1"/>
    <col min="13591" max="13591" width="13.140625" style="10" customWidth="1"/>
    <col min="13592" max="13592" width="15.7109375" style="10" customWidth="1"/>
    <col min="13593" max="13593" width="37.5703125" style="10" customWidth="1"/>
    <col min="13594" max="13815" width="11.42578125" style="10"/>
    <col min="13816" max="13816" width="10.5703125" style="10" customWidth="1"/>
    <col min="13817" max="13817" width="4.85546875" style="10" customWidth="1"/>
    <col min="13818" max="13818" width="32.42578125" style="10" customWidth="1"/>
    <col min="13819" max="13819" width="9.85546875" style="10" customWidth="1"/>
    <col min="13820" max="13820" width="10.140625" style="10" customWidth="1"/>
    <col min="13821" max="13821" width="12.28515625" style="10" customWidth="1"/>
    <col min="13822" max="13822" width="15.42578125" style="10" customWidth="1"/>
    <col min="13823" max="13823" width="11.85546875" style="10" customWidth="1"/>
    <col min="13824" max="13824" width="13.28515625" style="10" customWidth="1"/>
    <col min="13825" max="13825" width="15.28515625" style="10" customWidth="1"/>
    <col min="13826" max="13826" width="11.85546875" style="10" customWidth="1"/>
    <col min="13827" max="13827" width="6.140625" style="10" customWidth="1"/>
    <col min="13828" max="13828" width="11.85546875" style="10" customWidth="1"/>
    <col min="13829" max="13829" width="9.42578125" style="10" customWidth="1"/>
    <col min="13830" max="13830" width="14.7109375" style="10" customWidth="1"/>
    <col min="13831" max="13831" width="11.5703125" style="10" customWidth="1"/>
    <col min="13832" max="13832" width="0.42578125" style="10" customWidth="1"/>
    <col min="13833" max="13833" width="10.5703125" style="10" bestFit="1" customWidth="1"/>
    <col min="13834" max="13834" width="12.28515625" style="10" customWidth="1"/>
    <col min="13835" max="13835" width="12.5703125" style="10" customWidth="1"/>
    <col min="13836" max="13836" width="10.5703125" style="10" customWidth="1"/>
    <col min="13837" max="13837" width="10.140625" style="10" customWidth="1"/>
    <col min="13838" max="13838" width="8.42578125" style="10" customWidth="1"/>
    <col min="13839" max="13839" width="18.85546875" style="10" customWidth="1"/>
    <col min="13840" max="13840" width="10.28515625" style="10" customWidth="1"/>
    <col min="13841" max="13841" width="11.42578125" style="10"/>
    <col min="13842" max="13842" width="12.140625" style="10" customWidth="1"/>
    <col min="13843" max="13843" width="10.5703125" style="10" customWidth="1"/>
    <col min="13844" max="13844" width="12.42578125" style="10" customWidth="1"/>
    <col min="13845" max="13845" width="15.140625" style="10" customWidth="1"/>
    <col min="13846" max="13846" width="13.5703125" style="10" customWidth="1"/>
    <col min="13847" max="13847" width="13.140625" style="10" customWidth="1"/>
    <col min="13848" max="13848" width="15.7109375" style="10" customWidth="1"/>
    <col min="13849" max="13849" width="37.5703125" style="10" customWidth="1"/>
    <col min="13850" max="14071" width="11.42578125" style="10"/>
    <col min="14072" max="14072" width="10.5703125" style="10" customWidth="1"/>
    <col min="14073" max="14073" width="4.85546875" style="10" customWidth="1"/>
    <col min="14074" max="14074" width="32.42578125" style="10" customWidth="1"/>
    <col min="14075" max="14075" width="9.85546875" style="10" customWidth="1"/>
    <col min="14076" max="14076" width="10.140625" style="10" customWidth="1"/>
    <col min="14077" max="14077" width="12.28515625" style="10" customWidth="1"/>
    <col min="14078" max="14078" width="15.42578125" style="10" customWidth="1"/>
    <col min="14079" max="14079" width="11.85546875" style="10" customWidth="1"/>
    <col min="14080" max="14080" width="13.28515625" style="10" customWidth="1"/>
    <col min="14081" max="14081" width="15.28515625" style="10" customWidth="1"/>
    <col min="14082" max="14082" width="11.85546875" style="10" customWidth="1"/>
    <col min="14083" max="14083" width="6.140625" style="10" customWidth="1"/>
    <col min="14084" max="14084" width="11.85546875" style="10" customWidth="1"/>
    <col min="14085" max="14085" width="9.42578125" style="10" customWidth="1"/>
    <col min="14086" max="14086" width="14.7109375" style="10" customWidth="1"/>
    <col min="14087" max="14087" width="11.5703125" style="10" customWidth="1"/>
    <col min="14088" max="14088" width="0.42578125" style="10" customWidth="1"/>
    <col min="14089" max="14089" width="10.5703125" style="10" bestFit="1" customWidth="1"/>
    <col min="14090" max="14090" width="12.28515625" style="10" customWidth="1"/>
    <col min="14091" max="14091" width="12.5703125" style="10" customWidth="1"/>
    <col min="14092" max="14092" width="10.5703125" style="10" customWidth="1"/>
    <col min="14093" max="14093" width="10.140625" style="10" customWidth="1"/>
    <col min="14094" max="14094" width="8.42578125" style="10" customWidth="1"/>
    <col min="14095" max="14095" width="18.85546875" style="10" customWidth="1"/>
    <col min="14096" max="14096" width="10.28515625" style="10" customWidth="1"/>
    <col min="14097" max="14097" width="11.42578125" style="10"/>
    <col min="14098" max="14098" width="12.140625" style="10" customWidth="1"/>
    <col min="14099" max="14099" width="10.5703125" style="10" customWidth="1"/>
    <col min="14100" max="14100" width="12.42578125" style="10" customWidth="1"/>
    <col min="14101" max="14101" width="15.140625" style="10" customWidth="1"/>
    <col min="14102" max="14102" width="13.5703125" style="10" customWidth="1"/>
    <col min="14103" max="14103" width="13.140625" style="10" customWidth="1"/>
    <col min="14104" max="14104" width="15.7109375" style="10" customWidth="1"/>
    <col min="14105" max="14105" width="37.5703125" style="10" customWidth="1"/>
    <col min="14106" max="14327" width="11.42578125" style="10"/>
    <col min="14328" max="14328" width="10.5703125" style="10" customWidth="1"/>
    <col min="14329" max="14329" width="4.85546875" style="10" customWidth="1"/>
    <col min="14330" max="14330" width="32.42578125" style="10" customWidth="1"/>
    <col min="14331" max="14331" width="9.85546875" style="10" customWidth="1"/>
    <col min="14332" max="14332" width="10.140625" style="10" customWidth="1"/>
    <col min="14333" max="14333" width="12.28515625" style="10" customWidth="1"/>
    <col min="14334" max="14334" width="15.42578125" style="10" customWidth="1"/>
    <col min="14335" max="14335" width="11.85546875" style="10" customWidth="1"/>
    <col min="14336" max="14336" width="13.28515625" style="10" customWidth="1"/>
    <col min="14337" max="14337" width="15.28515625" style="10" customWidth="1"/>
    <col min="14338" max="14338" width="11.85546875" style="10" customWidth="1"/>
    <col min="14339" max="14339" width="6.140625" style="10" customWidth="1"/>
    <col min="14340" max="14340" width="11.85546875" style="10" customWidth="1"/>
    <col min="14341" max="14341" width="9.42578125" style="10" customWidth="1"/>
    <col min="14342" max="14342" width="14.7109375" style="10" customWidth="1"/>
    <col min="14343" max="14343" width="11.5703125" style="10" customWidth="1"/>
    <col min="14344" max="14344" width="0.42578125" style="10" customWidth="1"/>
    <col min="14345" max="14345" width="10.5703125" style="10" bestFit="1" customWidth="1"/>
    <col min="14346" max="14346" width="12.28515625" style="10" customWidth="1"/>
    <col min="14347" max="14347" width="12.5703125" style="10" customWidth="1"/>
    <col min="14348" max="14348" width="10.5703125" style="10" customWidth="1"/>
    <col min="14349" max="14349" width="10.140625" style="10" customWidth="1"/>
    <col min="14350" max="14350" width="8.42578125" style="10" customWidth="1"/>
    <col min="14351" max="14351" width="18.85546875" style="10" customWidth="1"/>
    <col min="14352" max="14352" width="10.28515625" style="10" customWidth="1"/>
    <col min="14353" max="14353" width="11.42578125" style="10"/>
    <col min="14354" max="14354" width="12.140625" style="10" customWidth="1"/>
    <col min="14355" max="14355" width="10.5703125" style="10" customWidth="1"/>
    <col min="14356" max="14356" width="12.42578125" style="10" customWidth="1"/>
    <col min="14357" max="14357" width="15.140625" style="10" customWidth="1"/>
    <col min="14358" max="14358" width="13.5703125" style="10" customWidth="1"/>
    <col min="14359" max="14359" width="13.140625" style="10" customWidth="1"/>
    <col min="14360" max="14360" width="15.7109375" style="10" customWidth="1"/>
    <col min="14361" max="14361" width="37.5703125" style="10" customWidth="1"/>
    <col min="14362" max="14583" width="11.42578125" style="10"/>
    <col min="14584" max="14584" width="10.5703125" style="10" customWidth="1"/>
    <col min="14585" max="14585" width="4.85546875" style="10" customWidth="1"/>
    <col min="14586" max="14586" width="32.42578125" style="10" customWidth="1"/>
    <col min="14587" max="14587" width="9.85546875" style="10" customWidth="1"/>
    <col min="14588" max="14588" width="10.140625" style="10" customWidth="1"/>
    <col min="14589" max="14589" width="12.28515625" style="10" customWidth="1"/>
    <col min="14590" max="14590" width="15.42578125" style="10" customWidth="1"/>
    <col min="14591" max="14591" width="11.85546875" style="10" customWidth="1"/>
    <col min="14592" max="14592" width="13.28515625" style="10" customWidth="1"/>
    <col min="14593" max="14593" width="15.28515625" style="10" customWidth="1"/>
    <col min="14594" max="14594" width="11.85546875" style="10" customWidth="1"/>
    <col min="14595" max="14595" width="6.140625" style="10" customWidth="1"/>
    <col min="14596" max="14596" width="11.85546875" style="10" customWidth="1"/>
    <col min="14597" max="14597" width="9.42578125" style="10" customWidth="1"/>
    <col min="14598" max="14598" width="14.7109375" style="10" customWidth="1"/>
    <col min="14599" max="14599" width="11.5703125" style="10" customWidth="1"/>
    <col min="14600" max="14600" width="0.42578125" style="10" customWidth="1"/>
    <col min="14601" max="14601" width="10.5703125" style="10" bestFit="1" customWidth="1"/>
    <col min="14602" max="14602" width="12.28515625" style="10" customWidth="1"/>
    <col min="14603" max="14603" width="12.5703125" style="10" customWidth="1"/>
    <col min="14604" max="14604" width="10.5703125" style="10" customWidth="1"/>
    <col min="14605" max="14605" width="10.140625" style="10" customWidth="1"/>
    <col min="14606" max="14606" width="8.42578125" style="10" customWidth="1"/>
    <col min="14607" max="14607" width="18.85546875" style="10" customWidth="1"/>
    <col min="14608" max="14608" width="10.28515625" style="10" customWidth="1"/>
    <col min="14609" max="14609" width="11.42578125" style="10"/>
    <col min="14610" max="14610" width="12.140625" style="10" customWidth="1"/>
    <col min="14611" max="14611" width="10.5703125" style="10" customWidth="1"/>
    <col min="14612" max="14612" width="12.42578125" style="10" customWidth="1"/>
    <col min="14613" max="14613" width="15.140625" style="10" customWidth="1"/>
    <col min="14614" max="14614" width="13.5703125" style="10" customWidth="1"/>
    <col min="14615" max="14615" width="13.140625" style="10" customWidth="1"/>
    <col min="14616" max="14616" width="15.7109375" style="10" customWidth="1"/>
    <col min="14617" max="14617" width="37.5703125" style="10" customWidth="1"/>
    <col min="14618" max="14839" width="11.42578125" style="10"/>
    <col min="14840" max="14840" width="10.5703125" style="10" customWidth="1"/>
    <col min="14841" max="14841" width="4.85546875" style="10" customWidth="1"/>
    <col min="14842" max="14842" width="32.42578125" style="10" customWidth="1"/>
    <col min="14843" max="14843" width="9.85546875" style="10" customWidth="1"/>
    <col min="14844" max="14844" width="10.140625" style="10" customWidth="1"/>
    <col min="14845" max="14845" width="12.28515625" style="10" customWidth="1"/>
    <col min="14846" max="14846" width="15.42578125" style="10" customWidth="1"/>
    <col min="14847" max="14847" width="11.85546875" style="10" customWidth="1"/>
    <col min="14848" max="14848" width="13.28515625" style="10" customWidth="1"/>
    <col min="14849" max="14849" width="15.28515625" style="10" customWidth="1"/>
    <col min="14850" max="14850" width="11.85546875" style="10" customWidth="1"/>
    <col min="14851" max="14851" width="6.140625" style="10" customWidth="1"/>
    <col min="14852" max="14852" width="11.85546875" style="10" customWidth="1"/>
    <col min="14853" max="14853" width="9.42578125" style="10" customWidth="1"/>
    <col min="14854" max="14854" width="14.7109375" style="10" customWidth="1"/>
    <col min="14855" max="14855" width="11.5703125" style="10" customWidth="1"/>
    <col min="14856" max="14856" width="0.42578125" style="10" customWidth="1"/>
    <col min="14857" max="14857" width="10.5703125" style="10" bestFit="1" customWidth="1"/>
    <col min="14858" max="14858" width="12.28515625" style="10" customWidth="1"/>
    <col min="14859" max="14859" width="12.5703125" style="10" customWidth="1"/>
    <col min="14860" max="14860" width="10.5703125" style="10" customWidth="1"/>
    <col min="14861" max="14861" width="10.140625" style="10" customWidth="1"/>
    <col min="14862" max="14862" width="8.42578125" style="10" customWidth="1"/>
    <col min="14863" max="14863" width="18.85546875" style="10" customWidth="1"/>
    <col min="14864" max="14864" width="10.28515625" style="10" customWidth="1"/>
    <col min="14865" max="14865" width="11.42578125" style="10"/>
    <col min="14866" max="14866" width="12.140625" style="10" customWidth="1"/>
    <col min="14867" max="14867" width="10.5703125" style="10" customWidth="1"/>
    <col min="14868" max="14868" width="12.42578125" style="10" customWidth="1"/>
    <col min="14869" max="14869" width="15.140625" style="10" customWidth="1"/>
    <col min="14870" max="14870" width="13.5703125" style="10" customWidth="1"/>
    <col min="14871" max="14871" width="13.140625" style="10" customWidth="1"/>
    <col min="14872" max="14872" width="15.7109375" style="10" customWidth="1"/>
    <col min="14873" max="14873" width="37.5703125" style="10" customWidth="1"/>
    <col min="14874" max="15095" width="11.42578125" style="10"/>
    <col min="15096" max="15096" width="10.5703125" style="10" customWidth="1"/>
    <col min="15097" max="15097" width="4.85546875" style="10" customWidth="1"/>
    <col min="15098" max="15098" width="32.42578125" style="10" customWidth="1"/>
    <col min="15099" max="15099" width="9.85546875" style="10" customWidth="1"/>
    <col min="15100" max="15100" width="10.140625" style="10" customWidth="1"/>
    <col min="15101" max="15101" width="12.28515625" style="10" customWidth="1"/>
    <col min="15102" max="15102" width="15.42578125" style="10" customWidth="1"/>
    <col min="15103" max="15103" width="11.85546875" style="10" customWidth="1"/>
    <col min="15104" max="15104" width="13.28515625" style="10" customWidth="1"/>
    <col min="15105" max="15105" width="15.28515625" style="10" customWidth="1"/>
    <col min="15106" max="15106" width="11.85546875" style="10" customWidth="1"/>
    <col min="15107" max="15107" width="6.140625" style="10" customWidth="1"/>
    <col min="15108" max="15108" width="11.85546875" style="10" customWidth="1"/>
    <col min="15109" max="15109" width="9.42578125" style="10" customWidth="1"/>
    <col min="15110" max="15110" width="14.7109375" style="10" customWidth="1"/>
    <col min="15111" max="15111" width="11.5703125" style="10" customWidth="1"/>
    <col min="15112" max="15112" width="0.42578125" style="10" customWidth="1"/>
    <col min="15113" max="15113" width="10.5703125" style="10" bestFit="1" customWidth="1"/>
    <col min="15114" max="15114" width="12.28515625" style="10" customWidth="1"/>
    <col min="15115" max="15115" width="12.5703125" style="10" customWidth="1"/>
    <col min="15116" max="15116" width="10.5703125" style="10" customWidth="1"/>
    <col min="15117" max="15117" width="10.140625" style="10" customWidth="1"/>
    <col min="15118" max="15118" width="8.42578125" style="10" customWidth="1"/>
    <col min="15119" max="15119" width="18.85546875" style="10" customWidth="1"/>
    <col min="15120" max="15120" width="10.28515625" style="10" customWidth="1"/>
    <col min="15121" max="15121" width="11.42578125" style="10"/>
    <col min="15122" max="15122" width="12.140625" style="10" customWidth="1"/>
    <col min="15123" max="15123" width="10.5703125" style="10" customWidth="1"/>
    <col min="15124" max="15124" width="12.42578125" style="10" customWidth="1"/>
    <col min="15125" max="15125" width="15.140625" style="10" customWidth="1"/>
    <col min="15126" max="15126" width="13.5703125" style="10" customWidth="1"/>
    <col min="15127" max="15127" width="13.140625" style="10" customWidth="1"/>
    <col min="15128" max="15128" width="15.7109375" style="10" customWidth="1"/>
    <col min="15129" max="15129" width="37.5703125" style="10" customWidth="1"/>
    <col min="15130" max="15351" width="11.42578125" style="10"/>
    <col min="15352" max="15352" width="10.5703125" style="10" customWidth="1"/>
    <col min="15353" max="15353" width="4.85546875" style="10" customWidth="1"/>
    <col min="15354" max="15354" width="32.42578125" style="10" customWidth="1"/>
    <col min="15355" max="15355" width="9.85546875" style="10" customWidth="1"/>
    <col min="15356" max="15356" width="10.140625" style="10" customWidth="1"/>
    <col min="15357" max="15357" width="12.28515625" style="10" customWidth="1"/>
    <col min="15358" max="15358" width="15.42578125" style="10" customWidth="1"/>
    <col min="15359" max="15359" width="11.85546875" style="10" customWidth="1"/>
    <col min="15360" max="15360" width="13.28515625" style="10" customWidth="1"/>
    <col min="15361" max="15361" width="15.28515625" style="10" customWidth="1"/>
    <col min="15362" max="15362" width="11.85546875" style="10" customWidth="1"/>
    <col min="15363" max="15363" width="6.140625" style="10" customWidth="1"/>
    <col min="15364" max="15364" width="11.85546875" style="10" customWidth="1"/>
    <col min="15365" max="15365" width="9.42578125" style="10" customWidth="1"/>
    <col min="15366" max="15366" width="14.7109375" style="10" customWidth="1"/>
    <col min="15367" max="15367" width="11.5703125" style="10" customWidth="1"/>
    <col min="15368" max="15368" width="0.42578125" style="10" customWidth="1"/>
    <col min="15369" max="15369" width="10.5703125" style="10" bestFit="1" customWidth="1"/>
    <col min="15370" max="15370" width="12.28515625" style="10" customWidth="1"/>
    <col min="15371" max="15371" width="12.5703125" style="10" customWidth="1"/>
    <col min="15372" max="15372" width="10.5703125" style="10" customWidth="1"/>
    <col min="15373" max="15373" width="10.140625" style="10" customWidth="1"/>
    <col min="15374" max="15374" width="8.42578125" style="10" customWidth="1"/>
    <col min="15375" max="15375" width="18.85546875" style="10" customWidth="1"/>
    <col min="15376" max="15376" width="10.28515625" style="10" customWidth="1"/>
    <col min="15377" max="15377" width="11.42578125" style="10"/>
    <col min="15378" max="15378" width="12.140625" style="10" customWidth="1"/>
    <col min="15379" max="15379" width="10.5703125" style="10" customWidth="1"/>
    <col min="15380" max="15380" width="12.42578125" style="10" customWidth="1"/>
    <col min="15381" max="15381" width="15.140625" style="10" customWidth="1"/>
    <col min="15382" max="15382" width="13.5703125" style="10" customWidth="1"/>
    <col min="15383" max="15383" width="13.140625" style="10" customWidth="1"/>
    <col min="15384" max="15384" width="15.7109375" style="10" customWidth="1"/>
    <col min="15385" max="15385" width="37.5703125" style="10" customWidth="1"/>
    <col min="15386" max="15607" width="11.42578125" style="10"/>
    <col min="15608" max="15608" width="10.5703125" style="10" customWidth="1"/>
    <col min="15609" max="15609" width="4.85546875" style="10" customWidth="1"/>
    <col min="15610" max="15610" width="32.42578125" style="10" customWidth="1"/>
    <col min="15611" max="15611" width="9.85546875" style="10" customWidth="1"/>
    <col min="15612" max="15612" width="10.140625" style="10" customWidth="1"/>
    <col min="15613" max="15613" width="12.28515625" style="10" customWidth="1"/>
    <col min="15614" max="15614" width="15.42578125" style="10" customWidth="1"/>
    <col min="15615" max="15615" width="11.85546875" style="10" customWidth="1"/>
    <col min="15616" max="15616" width="13.28515625" style="10" customWidth="1"/>
    <col min="15617" max="15617" width="15.28515625" style="10" customWidth="1"/>
    <col min="15618" max="15618" width="11.85546875" style="10" customWidth="1"/>
    <col min="15619" max="15619" width="6.140625" style="10" customWidth="1"/>
    <col min="15620" max="15620" width="11.85546875" style="10" customWidth="1"/>
    <col min="15621" max="15621" width="9.42578125" style="10" customWidth="1"/>
    <col min="15622" max="15622" width="14.7109375" style="10" customWidth="1"/>
    <col min="15623" max="15623" width="11.5703125" style="10" customWidth="1"/>
    <col min="15624" max="15624" width="0.42578125" style="10" customWidth="1"/>
    <col min="15625" max="15625" width="10.5703125" style="10" bestFit="1" customWidth="1"/>
    <col min="15626" max="15626" width="12.28515625" style="10" customWidth="1"/>
    <col min="15627" max="15627" width="12.5703125" style="10" customWidth="1"/>
    <col min="15628" max="15628" width="10.5703125" style="10" customWidth="1"/>
    <col min="15629" max="15629" width="10.140625" style="10" customWidth="1"/>
    <col min="15630" max="15630" width="8.42578125" style="10" customWidth="1"/>
    <col min="15631" max="15631" width="18.85546875" style="10" customWidth="1"/>
    <col min="15632" max="15632" width="10.28515625" style="10" customWidth="1"/>
    <col min="15633" max="15633" width="11.42578125" style="10"/>
    <col min="15634" max="15634" width="12.140625" style="10" customWidth="1"/>
    <col min="15635" max="15635" width="10.5703125" style="10" customWidth="1"/>
    <col min="15636" max="15636" width="12.42578125" style="10" customWidth="1"/>
    <col min="15637" max="15637" width="15.140625" style="10" customWidth="1"/>
    <col min="15638" max="15638" width="13.5703125" style="10" customWidth="1"/>
    <col min="15639" max="15639" width="13.140625" style="10" customWidth="1"/>
    <col min="15640" max="15640" width="15.7109375" style="10" customWidth="1"/>
    <col min="15641" max="15641" width="37.5703125" style="10" customWidth="1"/>
    <col min="15642" max="15863" width="11.42578125" style="10"/>
    <col min="15864" max="15864" width="10.5703125" style="10" customWidth="1"/>
    <col min="15865" max="15865" width="4.85546875" style="10" customWidth="1"/>
    <col min="15866" max="15866" width="32.42578125" style="10" customWidth="1"/>
    <col min="15867" max="15867" width="9.85546875" style="10" customWidth="1"/>
    <col min="15868" max="15868" width="10.140625" style="10" customWidth="1"/>
    <col min="15869" max="15869" width="12.28515625" style="10" customWidth="1"/>
    <col min="15870" max="15870" width="15.42578125" style="10" customWidth="1"/>
    <col min="15871" max="15871" width="11.85546875" style="10" customWidth="1"/>
    <col min="15872" max="15872" width="13.28515625" style="10" customWidth="1"/>
    <col min="15873" max="15873" width="15.28515625" style="10" customWidth="1"/>
    <col min="15874" max="15874" width="11.85546875" style="10" customWidth="1"/>
    <col min="15875" max="15875" width="6.140625" style="10" customWidth="1"/>
    <col min="15876" max="15876" width="11.85546875" style="10" customWidth="1"/>
    <col min="15877" max="15877" width="9.42578125" style="10" customWidth="1"/>
    <col min="15878" max="15878" width="14.7109375" style="10" customWidth="1"/>
    <col min="15879" max="15879" width="11.5703125" style="10" customWidth="1"/>
    <col min="15880" max="15880" width="0.42578125" style="10" customWidth="1"/>
    <col min="15881" max="15881" width="10.5703125" style="10" bestFit="1" customWidth="1"/>
    <col min="15882" max="15882" width="12.28515625" style="10" customWidth="1"/>
    <col min="15883" max="15883" width="12.5703125" style="10" customWidth="1"/>
    <col min="15884" max="15884" width="10.5703125" style="10" customWidth="1"/>
    <col min="15885" max="15885" width="10.140625" style="10" customWidth="1"/>
    <col min="15886" max="15886" width="8.42578125" style="10" customWidth="1"/>
    <col min="15887" max="15887" width="18.85546875" style="10" customWidth="1"/>
    <col min="15888" max="15888" width="10.28515625" style="10" customWidth="1"/>
    <col min="15889" max="15889" width="11.42578125" style="10"/>
    <col min="15890" max="15890" width="12.140625" style="10" customWidth="1"/>
    <col min="15891" max="15891" width="10.5703125" style="10" customWidth="1"/>
    <col min="15892" max="15892" width="12.42578125" style="10" customWidth="1"/>
    <col min="15893" max="15893" width="15.140625" style="10" customWidth="1"/>
    <col min="15894" max="15894" width="13.5703125" style="10" customWidth="1"/>
    <col min="15895" max="15895" width="13.140625" style="10" customWidth="1"/>
    <col min="15896" max="15896" width="15.7109375" style="10" customWidth="1"/>
    <col min="15897" max="15897" width="37.5703125" style="10" customWidth="1"/>
    <col min="15898" max="16119" width="11.42578125" style="10"/>
    <col min="16120" max="16120" width="10.5703125" style="10" customWidth="1"/>
    <col min="16121" max="16121" width="4.85546875" style="10" customWidth="1"/>
    <col min="16122" max="16122" width="32.42578125" style="10" customWidth="1"/>
    <col min="16123" max="16123" width="9.85546875" style="10" customWidth="1"/>
    <col min="16124" max="16124" width="10.140625" style="10" customWidth="1"/>
    <col min="16125" max="16125" width="12.28515625" style="10" customWidth="1"/>
    <col min="16126" max="16126" width="15.42578125" style="10" customWidth="1"/>
    <col min="16127" max="16127" width="11.85546875" style="10" customWidth="1"/>
    <col min="16128" max="16128" width="13.28515625" style="10" customWidth="1"/>
    <col min="16129" max="16129" width="15.28515625" style="10" customWidth="1"/>
    <col min="16130" max="16130" width="11.85546875" style="10" customWidth="1"/>
    <col min="16131" max="16131" width="6.140625" style="10" customWidth="1"/>
    <col min="16132" max="16132" width="11.85546875" style="10" customWidth="1"/>
    <col min="16133" max="16133" width="9.42578125" style="10" customWidth="1"/>
    <col min="16134" max="16134" width="14.7109375" style="10" customWidth="1"/>
    <col min="16135" max="16135" width="11.5703125" style="10" customWidth="1"/>
    <col min="16136" max="16136" width="0.42578125" style="10" customWidth="1"/>
    <col min="16137" max="16137" width="10.5703125" style="10" bestFit="1" customWidth="1"/>
    <col min="16138" max="16138" width="12.28515625" style="10" customWidth="1"/>
    <col min="16139" max="16139" width="12.5703125" style="10" customWidth="1"/>
    <col min="16140" max="16140" width="10.5703125" style="10" customWidth="1"/>
    <col min="16141" max="16141" width="10.140625" style="10" customWidth="1"/>
    <col min="16142" max="16142" width="8.42578125" style="10" customWidth="1"/>
    <col min="16143" max="16143" width="18.85546875" style="10" customWidth="1"/>
    <col min="16144" max="16144" width="10.28515625" style="10" customWidth="1"/>
    <col min="16145" max="16145" width="11.42578125" style="10"/>
    <col min="16146" max="16146" width="12.140625" style="10" customWidth="1"/>
    <col min="16147" max="16147" width="10.5703125" style="10" customWidth="1"/>
    <col min="16148" max="16148" width="12.42578125" style="10" customWidth="1"/>
    <col min="16149" max="16149" width="15.140625" style="10" customWidth="1"/>
    <col min="16150" max="16150" width="13.5703125" style="10" customWidth="1"/>
    <col min="16151" max="16151" width="13.140625" style="10" customWidth="1"/>
    <col min="16152" max="16152" width="15.7109375" style="10" customWidth="1"/>
    <col min="16153" max="16153" width="37.5703125" style="10" customWidth="1"/>
    <col min="16154" max="16384" width="11.42578125" style="10"/>
  </cols>
  <sheetData>
    <row r="1" spans="1:25" x14ac:dyDescent="0.25">
      <c r="C1" s="100" t="s">
        <v>194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3"/>
      <c r="X1" s="9"/>
      <c r="Y1" s="13"/>
    </row>
    <row r="2" spans="1:25" x14ac:dyDescent="0.25">
      <c r="C2" s="72" t="s">
        <v>1</v>
      </c>
      <c r="D2" s="13"/>
      <c r="E2" s="101" t="s">
        <v>2</v>
      </c>
      <c r="F2" s="101"/>
      <c r="G2" s="101"/>
      <c r="H2" s="101"/>
      <c r="I2" s="101"/>
      <c r="J2" s="101"/>
      <c r="K2" s="101"/>
      <c r="L2" s="101"/>
      <c r="M2" s="101" t="s">
        <v>3</v>
      </c>
      <c r="N2" s="101"/>
      <c r="O2" s="101"/>
      <c r="P2" s="101"/>
      <c r="Q2" s="101"/>
      <c r="R2" s="101"/>
      <c r="S2" s="101"/>
      <c r="T2" s="101"/>
      <c r="U2" s="101"/>
      <c r="V2" s="13"/>
      <c r="W2" s="13"/>
      <c r="X2" s="9"/>
      <c r="Y2" s="13"/>
    </row>
    <row r="3" spans="1:25" ht="39" customHeight="1" x14ac:dyDescent="0.25">
      <c r="A3" s="102" t="s">
        <v>4</v>
      </c>
      <c r="B3" s="14" t="s">
        <v>5</v>
      </c>
      <c r="C3" s="14" t="s">
        <v>6</v>
      </c>
      <c r="D3" s="14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5" t="s">
        <v>192</v>
      </c>
      <c r="J3" s="15" t="s">
        <v>12</v>
      </c>
      <c r="K3" s="15" t="s">
        <v>162</v>
      </c>
      <c r="L3" s="15" t="s">
        <v>14</v>
      </c>
      <c r="M3" s="15" t="s">
        <v>15</v>
      </c>
      <c r="N3" s="15" t="s">
        <v>16</v>
      </c>
      <c r="O3" s="15" t="s">
        <v>17</v>
      </c>
      <c r="P3" s="15" t="s">
        <v>181</v>
      </c>
      <c r="Q3" s="15" t="s">
        <v>19</v>
      </c>
      <c r="R3" s="15" t="s">
        <v>20</v>
      </c>
      <c r="S3" s="15" t="s">
        <v>21</v>
      </c>
      <c r="T3" s="15" t="s">
        <v>22</v>
      </c>
      <c r="U3" s="15" t="s">
        <v>23</v>
      </c>
      <c r="V3" s="14" t="s">
        <v>24</v>
      </c>
      <c r="W3" s="14"/>
      <c r="X3" s="16"/>
      <c r="Y3" s="14" t="s">
        <v>188</v>
      </c>
    </row>
    <row r="4" spans="1:25" x14ac:dyDescent="0.25">
      <c r="A4" s="103"/>
      <c r="B4" s="14">
        <v>1</v>
      </c>
      <c r="C4" s="11" t="s">
        <v>26</v>
      </c>
      <c r="D4" s="6" t="s">
        <v>27</v>
      </c>
      <c r="E4" s="5">
        <v>7000000</v>
      </c>
      <c r="F4" s="12">
        <v>29</v>
      </c>
      <c r="G4" s="5">
        <f>+E4</f>
        <v>7000000</v>
      </c>
      <c r="H4" s="5"/>
      <c r="I4" s="5"/>
      <c r="J4" s="5"/>
      <c r="K4" s="5"/>
      <c r="L4" s="5">
        <f>SUM(G4:J4)+K4</f>
        <v>7000000</v>
      </c>
      <c r="M4" s="5">
        <f>+E4*4%</f>
        <v>280000</v>
      </c>
      <c r="N4" s="5">
        <f>+E4*5%</f>
        <v>350000</v>
      </c>
      <c r="O4" s="5"/>
      <c r="P4" s="5"/>
      <c r="Q4" s="5">
        <v>233000</v>
      </c>
      <c r="R4" s="5"/>
      <c r="S4" s="5"/>
      <c r="T4" s="5"/>
      <c r="U4" s="5">
        <f t="shared" ref="U4:U47" si="0">SUM(M4:T4)</f>
        <v>863000</v>
      </c>
      <c r="V4" s="7">
        <f t="shared" ref="V4:V9" si="1">+L4-U4</f>
        <v>6137000</v>
      </c>
      <c r="W4" s="8"/>
      <c r="X4" s="9"/>
      <c r="Y4" s="8">
        <f>V4+W4-X4</f>
        <v>6137000</v>
      </c>
    </row>
    <row r="5" spans="1:25" ht="24" x14ac:dyDescent="0.25">
      <c r="A5" s="103"/>
      <c r="B5" s="14">
        <v>2</v>
      </c>
      <c r="C5" s="11" t="s">
        <v>28</v>
      </c>
      <c r="D5" s="6" t="s">
        <v>27</v>
      </c>
      <c r="E5" s="5">
        <v>4500000</v>
      </c>
      <c r="F5" s="12">
        <v>30</v>
      </c>
      <c r="G5" s="5">
        <f>+E5-K5</f>
        <v>4500000</v>
      </c>
      <c r="H5" s="5"/>
      <c r="I5" s="5"/>
      <c r="J5" s="5">
        <v>500000</v>
      </c>
      <c r="K5" s="5"/>
      <c r="L5" s="5">
        <f t="shared" ref="L5:L35" si="2">SUM(G5:J5)+K5</f>
        <v>5000000</v>
      </c>
      <c r="M5" s="5">
        <f>+E5*4%</f>
        <v>180000</v>
      </c>
      <c r="N5" s="5">
        <f>+E5*5%</f>
        <v>225000</v>
      </c>
      <c r="O5" s="5"/>
      <c r="P5" s="5"/>
      <c r="Q5" s="5">
        <v>79773</v>
      </c>
      <c r="R5" s="5"/>
      <c r="S5" s="5"/>
      <c r="T5" s="5"/>
      <c r="U5" s="5">
        <f>SUM(M5:T5)</f>
        <v>484773</v>
      </c>
      <c r="V5" s="7">
        <f t="shared" si="1"/>
        <v>4515227</v>
      </c>
      <c r="W5" s="8"/>
      <c r="X5" s="9"/>
      <c r="Y5" s="8">
        <f t="shared" ref="Y5:Y25" si="3">V5+W5-X5</f>
        <v>4515227</v>
      </c>
    </row>
    <row r="6" spans="1:25" ht="22.5" customHeight="1" x14ac:dyDescent="0.25">
      <c r="A6" s="103"/>
      <c r="B6" s="14">
        <v>3</v>
      </c>
      <c r="C6" s="11" t="s">
        <v>29</v>
      </c>
      <c r="D6" s="6" t="s">
        <v>27</v>
      </c>
      <c r="E6" s="5">
        <v>5500000</v>
      </c>
      <c r="F6" s="12">
        <v>30</v>
      </c>
      <c r="G6" s="5">
        <f>+E6-K6</f>
        <v>5500000</v>
      </c>
      <c r="H6" s="5"/>
      <c r="I6" s="5"/>
      <c r="J6" s="5">
        <v>500000</v>
      </c>
      <c r="K6" s="5">
        <v>0</v>
      </c>
      <c r="L6" s="5">
        <f t="shared" si="2"/>
        <v>6000000</v>
      </c>
      <c r="M6" s="5">
        <f>E6*4%</f>
        <v>220000</v>
      </c>
      <c r="N6" s="5">
        <f>E6*5%</f>
        <v>275000</v>
      </c>
      <c r="O6" s="5"/>
      <c r="P6" s="5"/>
      <c r="Q6" s="5">
        <v>102000</v>
      </c>
      <c r="R6" s="5"/>
      <c r="S6" s="5"/>
      <c r="T6" s="19">
        <v>1212777</v>
      </c>
      <c r="U6" s="5">
        <f t="shared" si="0"/>
        <v>1809777</v>
      </c>
      <c r="V6" s="7">
        <f t="shared" si="1"/>
        <v>4190223</v>
      </c>
      <c r="W6" s="8"/>
      <c r="X6" s="9"/>
      <c r="Y6" s="8">
        <f t="shared" si="3"/>
        <v>4190223</v>
      </c>
    </row>
    <row r="7" spans="1:25" ht="22.5" customHeight="1" x14ac:dyDescent="0.25">
      <c r="A7" s="103"/>
      <c r="B7" s="14">
        <v>4</v>
      </c>
      <c r="C7" s="11" t="s">
        <v>30</v>
      </c>
      <c r="D7" s="6" t="s">
        <v>27</v>
      </c>
      <c r="E7" s="5">
        <v>5492319</v>
      </c>
      <c r="F7" s="12">
        <v>30</v>
      </c>
      <c r="G7" s="5">
        <f>+E7-H7</f>
        <v>5492319</v>
      </c>
      <c r="H7" s="5"/>
      <c r="I7" s="5"/>
      <c r="J7" s="5"/>
      <c r="K7" s="5"/>
      <c r="L7" s="5">
        <f t="shared" ref="L7" si="4">SUM(G7:J7)+K7</f>
        <v>5492319</v>
      </c>
      <c r="M7" s="5">
        <f>+L7*4%</f>
        <v>219692.76</v>
      </c>
      <c r="N7" s="5">
        <f>+L7*5%</f>
        <v>274615.95</v>
      </c>
      <c r="O7" s="5"/>
      <c r="P7" s="5"/>
      <c r="Q7" s="17">
        <v>98000</v>
      </c>
      <c r="R7" s="5"/>
      <c r="S7" s="5"/>
      <c r="T7" s="19">
        <v>726520</v>
      </c>
      <c r="U7" s="5">
        <f t="shared" ref="U7" si="5">SUM(M7:T7)</f>
        <v>1318828.71</v>
      </c>
      <c r="V7" s="7">
        <f t="shared" si="1"/>
        <v>4173490.29</v>
      </c>
      <c r="W7" s="8"/>
      <c r="X7" s="9"/>
      <c r="Y7" s="8">
        <f t="shared" si="3"/>
        <v>4173490.29</v>
      </c>
    </row>
    <row r="8" spans="1:25" ht="26.25" customHeight="1" x14ac:dyDescent="0.25">
      <c r="A8" s="103"/>
      <c r="B8" s="14">
        <v>5</v>
      </c>
      <c r="C8" s="11" t="s">
        <v>142</v>
      </c>
      <c r="D8" s="6" t="s">
        <v>27</v>
      </c>
      <c r="E8" s="5">
        <v>5000000</v>
      </c>
      <c r="F8" s="12">
        <v>30</v>
      </c>
      <c r="G8" s="5">
        <f t="shared" ref="G8:G57" si="6">+E8/30*F8</f>
        <v>5000000</v>
      </c>
      <c r="H8" s="5"/>
      <c r="I8" s="5"/>
      <c r="J8" s="5"/>
      <c r="K8" s="5"/>
      <c r="L8" s="5">
        <f t="shared" si="2"/>
        <v>5000000</v>
      </c>
      <c r="M8" s="5">
        <f>+L8*4%</f>
        <v>200000</v>
      </c>
      <c r="N8" s="5">
        <f>+L8*5%</f>
        <v>250000</v>
      </c>
      <c r="O8" s="5"/>
      <c r="P8" s="5"/>
      <c r="Q8" s="17">
        <v>15000</v>
      </c>
      <c r="R8" s="5">
        <v>500000</v>
      </c>
      <c r="S8" s="5">
        <v>111000</v>
      </c>
      <c r="T8" s="5"/>
      <c r="U8" s="5">
        <f>SUM(M8:T8)</f>
        <v>1076000</v>
      </c>
      <c r="V8" s="7">
        <f t="shared" si="1"/>
        <v>3924000</v>
      </c>
      <c r="W8" s="8"/>
      <c r="X8" s="9"/>
      <c r="Y8" s="8">
        <f t="shared" si="3"/>
        <v>3924000</v>
      </c>
    </row>
    <row r="9" spans="1:25" x14ac:dyDescent="0.25">
      <c r="A9" s="103"/>
      <c r="B9" s="14">
        <v>6</v>
      </c>
      <c r="C9" s="11" t="s">
        <v>31</v>
      </c>
      <c r="D9" s="6" t="s">
        <v>27</v>
      </c>
      <c r="E9" s="5">
        <v>5000000</v>
      </c>
      <c r="F9" s="12">
        <v>30</v>
      </c>
      <c r="G9" s="5">
        <f t="shared" si="6"/>
        <v>5000000</v>
      </c>
      <c r="H9" s="5"/>
      <c r="I9" s="5"/>
      <c r="J9" s="5">
        <v>2012670</v>
      </c>
      <c r="K9" s="5"/>
      <c r="L9" s="5">
        <f>SUM(G9:J9)+K9</f>
        <v>7012670</v>
      </c>
      <c r="M9" s="5">
        <f>+E9*4%</f>
        <v>200000</v>
      </c>
      <c r="N9" s="5">
        <f>+E9*5%</f>
        <v>250000</v>
      </c>
      <c r="O9" s="5"/>
      <c r="P9" s="5"/>
      <c r="Q9" s="5">
        <v>50000</v>
      </c>
      <c r="R9" s="5">
        <v>700000</v>
      </c>
      <c r="S9" s="5"/>
      <c r="T9" s="5"/>
      <c r="U9" s="5">
        <f t="shared" si="0"/>
        <v>1200000</v>
      </c>
      <c r="V9" s="7">
        <f t="shared" si="1"/>
        <v>5812670</v>
      </c>
      <c r="W9" s="8"/>
      <c r="X9" s="9"/>
      <c r="Y9" s="8">
        <f t="shared" si="3"/>
        <v>5812670</v>
      </c>
    </row>
    <row r="10" spans="1:25" x14ac:dyDescent="0.25">
      <c r="A10" s="103"/>
      <c r="B10" s="14">
        <v>7</v>
      </c>
      <c r="C10" s="11" t="s">
        <v>32</v>
      </c>
      <c r="D10" s="6" t="s">
        <v>27</v>
      </c>
      <c r="E10" s="5">
        <v>4500000</v>
      </c>
      <c r="F10" s="12">
        <v>30</v>
      </c>
      <c r="G10" s="5">
        <f t="shared" si="6"/>
        <v>4500000</v>
      </c>
      <c r="H10" s="5"/>
      <c r="I10" s="5"/>
      <c r="J10" s="5"/>
      <c r="K10" s="5">
        <v>0</v>
      </c>
      <c r="L10" s="5">
        <f t="shared" si="2"/>
        <v>4500000</v>
      </c>
      <c r="M10" s="5">
        <f>+L10*4%</f>
        <v>180000</v>
      </c>
      <c r="N10" s="5">
        <f>+L10*5%</f>
        <v>225000</v>
      </c>
      <c r="O10" s="5"/>
      <c r="P10" s="5"/>
      <c r="Q10" s="5">
        <v>2545</v>
      </c>
      <c r="R10" s="5"/>
      <c r="S10" s="5"/>
      <c r="T10" s="19">
        <f>945750+420786</f>
        <v>1366536</v>
      </c>
      <c r="U10" s="5">
        <f t="shared" si="0"/>
        <v>1774081</v>
      </c>
      <c r="V10" s="7">
        <f>L10-U10</f>
        <v>2725919</v>
      </c>
      <c r="W10" s="8"/>
      <c r="X10" s="9"/>
      <c r="Y10" s="8">
        <f t="shared" si="3"/>
        <v>2725919</v>
      </c>
    </row>
    <row r="11" spans="1:25" x14ac:dyDescent="0.25">
      <c r="A11" s="103"/>
      <c r="B11" s="14">
        <v>8</v>
      </c>
      <c r="C11" s="11" t="s">
        <v>33</v>
      </c>
      <c r="D11" s="6" t="s">
        <v>27</v>
      </c>
      <c r="E11" s="5">
        <v>4500000</v>
      </c>
      <c r="F11" s="12">
        <v>30</v>
      </c>
      <c r="G11" s="5">
        <f t="shared" si="6"/>
        <v>4500000</v>
      </c>
      <c r="H11" s="5"/>
      <c r="I11" s="5"/>
      <c r="J11" s="5"/>
      <c r="K11" s="5"/>
      <c r="L11" s="5">
        <f t="shared" ref="L11" si="7">SUM(G11:J11)+K11</f>
        <v>4500000</v>
      </c>
      <c r="M11" s="5">
        <f>+E11*4%</f>
        <v>180000</v>
      </c>
      <c r="N11" s="5">
        <f>+E11*5%</f>
        <v>225000</v>
      </c>
      <c r="O11" s="5"/>
      <c r="P11" s="5"/>
      <c r="Q11" s="5">
        <v>10000</v>
      </c>
      <c r="R11" s="5"/>
      <c r="S11" s="5"/>
      <c r="T11" s="5"/>
      <c r="U11" s="5">
        <f t="shared" ref="U11" si="8">SUM(M11:T11)</f>
        <v>415000</v>
      </c>
      <c r="V11" s="7">
        <f>L11-U11</f>
        <v>4085000</v>
      </c>
      <c r="W11" s="8"/>
      <c r="X11" s="9"/>
      <c r="Y11" s="8">
        <f t="shared" si="3"/>
        <v>4085000</v>
      </c>
    </row>
    <row r="12" spans="1:25" x14ac:dyDescent="0.25">
      <c r="A12" s="103"/>
      <c r="B12" s="14">
        <v>9</v>
      </c>
      <c r="C12" s="11" t="s">
        <v>36</v>
      </c>
      <c r="D12" s="6" t="s">
        <v>27</v>
      </c>
      <c r="E12" s="5">
        <v>5400000</v>
      </c>
      <c r="F12" s="12">
        <v>30</v>
      </c>
      <c r="G12" s="5">
        <f t="shared" si="6"/>
        <v>5400000</v>
      </c>
      <c r="H12" s="5"/>
      <c r="I12" s="5"/>
      <c r="J12" s="5"/>
      <c r="K12" s="5"/>
      <c r="L12" s="5">
        <f>SUM(G12:J12)+K12</f>
        <v>5400000</v>
      </c>
      <c r="M12" s="5">
        <f>+E12*4%</f>
        <v>216000</v>
      </c>
      <c r="N12" s="5">
        <f>+E12*5%</f>
        <v>270000</v>
      </c>
      <c r="O12" s="5"/>
      <c r="P12" s="5"/>
      <c r="Q12" s="5">
        <v>6500</v>
      </c>
      <c r="R12" s="5"/>
      <c r="S12" s="5"/>
      <c r="T12" s="5"/>
      <c r="U12" s="5">
        <f t="shared" si="0"/>
        <v>492500</v>
      </c>
      <c r="V12" s="7">
        <f t="shared" ref="V12:V19" si="9">+L12-U12</f>
        <v>4907500</v>
      </c>
      <c r="W12" s="8"/>
      <c r="X12" s="9"/>
      <c r="Y12" s="8">
        <f t="shared" si="3"/>
        <v>4907500</v>
      </c>
    </row>
    <row r="13" spans="1:25" x14ac:dyDescent="0.25">
      <c r="A13" s="103"/>
      <c r="B13" s="14">
        <v>10</v>
      </c>
      <c r="C13" s="11" t="s">
        <v>174</v>
      </c>
      <c r="D13" s="6" t="s">
        <v>27</v>
      </c>
      <c r="E13" s="5">
        <v>4500000</v>
      </c>
      <c r="F13" s="12">
        <v>30</v>
      </c>
      <c r="G13" s="5">
        <f t="shared" si="6"/>
        <v>4500000</v>
      </c>
      <c r="H13" s="5"/>
      <c r="I13" s="5"/>
      <c r="J13" s="5"/>
      <c r="K13" s="5"/>
      <c r="L13" s="5">
        <f>SUM(G13:J13)+K13</f>
        <v>4500000</v>
      </c>
      <c r="M13" s="5">
        <f>+G13*4%</f>
        <v>180000</v>
      </c>
      <c r="N13" s="5">
        <f>+G13*5%</f>
        <v>225000</v>
      </c>
      <c r="O13" s="5"/>
      <c r="P13" s="5"/>
      <c r="Q13" s="17">
        <v>2800</v>
      </c>
      <c r="R13" s="5"/>
      <c r="S13" s="5"/>
      <c r="T13" s="5"/>
      <c r="U13" s="5">
        <f t="shared" ref="U13" si="10">SUM(M13:T13)</f>
        <v>407800</v>
      </c>
      <c r="V13" s="7">
        <f t="shared" si="9"/>
        <v>4092200</v>
      </c>
      <c r="W13" s="8"/>
      <c r="X13" s="9"/>
      <c r="Y13" s="8">
        <f t="shared" si="3"/>
        <v>4092200</v>
      </c>
    </row>
    <row r="14" spans="1:25" x14ac:dyDescent="0.25">
      <c r="A14" s="103"/>
      <c r="B14" s="14">
        <v>11</v>
      </c>
      <c r="C14" s="3" t="s">
        <v>37</v>
      </c>
      <c r="D14" s="4" t="s">
        <v>27</v>
      </c>
      <c r="E14" s="5">
        <v>4500000</v>
      </c>
      <c r="F14" s="12">
        <v>30</v>
      </c>
      <c r="G14" s="5">
        <f t="shared" si="6"/>
        <v>4500000</v>
      </c>
      <c r="H14" s="5"/>
      <c r="I14" s="5"/>
      <c r="J14" s="5"/>
      <c r="K14" s="5"/>
      <c r="L14" s="5">
        <f t="shared" si="2"/>
        <v>4500000</v>
      </c>
      <c r="M14" s="5">
        <v>180000</v>
      </c>
      <c r="N14" s="5">
        <v>225000</v>
      </c>
      <c r="O14" s="5"/>
      <c r="P14" s="5"/>
      <c r="Q14" s="5">
        <v>3000</v>
      </c>
      <c r="R14" s="5"/>
      <c r="S14" s="5"/>
      <c r="T14" s="5"/>
      <c r="U14" s="5">
        <f t="shared" si="0"/>
        <v>408000</v>
      </c>
      <c r="V14" s="7">
        <f t="shared" si="9"/>
        <v>4092000</v>
      </c>
      <c r="W14" s="8"/>
      <c r="X14" s="9"/>
      <c r="Y14" s="8">
        <f t="shared" si="3"/>
        <v>4092000</v>
      </c>
    </row>
    <row r="15" spans="1:25" x14ac:dyDescent="0.25">
      <c r="A15" s="103"/>
      <c r="B15" s="14">
        <v>12</v>
      </c>
      <c r="C15" s="3" t="s">
        <v>38</v>
      </c>
      <c r="D15" s="4" t="s">
        <v>27</v>
      </c>
      <c r="E15" s="5">
        <v>4500000</v>
      </c>
      <c r="F15" s="12">
        <v>23</v>
      </c>
      <c r="G15" s="5">
        <f t="shared" si="6"/>
        <v>3450000</v>
      </c>
      <c r="H15" s="5"/>
      <c r="I15" s="5"/>
      <c r="J15" s="5"/>
      <c r="K15" s="5">
        <f>+E15-G15</f>
        <v>1050000</v>
      </c>
      <c r="L15" s="5">
        <f t="shared" ref="L15" si="11">SUM(G15:J15)+K15</f>
        <v>4500000</v>
      </c>
      <c r="M15" s="5">
        <f>+E15*4%</f>
        <v>180000</v>
      </c>
      <c r="N15" s="5">
        <f>+E15*5%</f>
        <v>225000</v>
      </c>
      <c r="O15" s="5"/>
      <c r="P15" s="5"/>
      <c r="Q15" s="5">
        <v>72000</v>
      </c>
      <c r="R15" s="5"/>
      <c r="S15" s="5"/>
      <c r="T15" s="19">
        <v>838529</v>
      </c>
      <c r="U15" s="5">
        <f>SUM(M15:T15)</f>
        <v>1315529</v>
      </c>
      <c r="V15" s="7">
        <f>+L15-U15</f>
        <v>3184471</v>
      </c>
      <c r="W15" s="8"/>
      <c r="X15" s="9"/>
      <c r="Y15" s="8">
        <f t="shared" si="3"/>
        <v>3184471</v>
      </c>
    </row>
    <row r="16" spans="1:25" ht="18.75" customHeight="1" x14ac:dyDescent="0.25">
      <c r="A16" s="103"/>
      <c r="B16" s="14">
        <v>13</v>
      </c>
      <c r="C16" s="3" t="s">
        <v>39</v>
      </c>
      <c r="D16" s="4" t="s">
        <v>35</v>
      </c>
      <c r="E16" s="5">
        <v>4000000</v>
      </c>
      <c r="F16" s="12">
        <v>3</v>
      </c>
      <c r="G16" s="5">
        <f t="shared" si="6"/>
        <v>400000</v>
      </c>
      <c r="H16" s="5"/>
      <c r="I16" s="5"/>
      <c r="J16" s="5"/>
      <c r="K16" s="5">
        <f>+E16-G16</f>
        <v>3600000</v>
      </c>
      <c r="L16" s="5">
        <f t="shared" ref="L16" si="12">SUM(G16:J16)+K16</f>
        <v>4000000</v>
      </c>
      <c r="M16" s="5">
        <v>160000</v>
      </c>
      <c r="N16" s="5">
        <v>200000</v>
      </c>
      <c r="O16" s="5"/>
      <c r="P16" s="5"/>
      <c r="Q16" s="5">
        <v>4500</v>
      </c>
      <c r="R16" s="5"/>
      <c r="S16" s="5"/>
      <c r="T16" s="5"/>
      <c r="U16" s="5">
        <f t="shared" ref="U16" si="13">SUM(M16:T16)</f>
        <v>364500</v>
      </c>
      <c r="V16" s="7">
        <f t="shared" ref="V16:V18" si="14">+L16-U16</f>
        <v>3635500</v>
      </c>
      <c r="W16" s="8"/>
      <c r="X16" s="9"/>
      <c r="Y16" s="8">
        <f t="shared" si="3"/>
        <v>3635500</v>
      </c>
    </row>
    <row r="17" spans="1:25" ht="23.25" customHeight="1" x14ac:dyDescent="0.25">
      <c r="A17" s="103"/>
      <c r="B17" s="14">
        <v>14</v>
      </c>
      <c r="C17" s="3" t="s">
        <v>40</v>
      </c>
      <c r="D17" s="4" t="s">
        <v>35</v>
      </c>
      <c r="E17" s="5">
        <v>4500000</v>
      </c>
      <c r="F17" s="12">
        <v>30</v>
      </c>
      <c r="G17" s="5">
        <f t="shared" si="6"/>
        <v>4500000</v>
      </c>
      <c r="H17" s="5"/>
      <c r="I17" s="5"/>
      <c r="J17" s="5"/>
      <c r="K17" s="5"/>
      <c r="L17" s="5">
        <f>SUM(G17:J17)+K17</f>
        <v>4500000</v>
      </c>
      <c r="M17" s="5">
        <f>+E17*4%</f>
        <v>180000</v>
      </c>
      <c r="N17" s="5">
        <f>+E17*5%</f>
        <v>225000</v>
      </c>
      <c r="O17" s="5"/>
      <c r="P17" s="5"/>
      <c r="Q17" s="5">
        <v>72000</v>
      </c>
      <c r="R17" s="5"/>
      <c r="S17" s="5"/>
      <c r="T17" s="5"/>
      <c r="U17" s="5">
        <f t="shared" ref="U17" si="15">SUM(M17:T17)</f>
        <v>477000</v>
      </c>
      <c r="V17" s="7">
        <f t="shared" si="14"/>
        <v>4023000</v>
      </c>
      <c r="W17" s="8"/>
      <c r="X17" s="9"/>
      <c r="Y17" s="8">
        <f t="shared" si="3"/>
        <v>4023000</v>
      </c>
    </row>
    <row r="18" spans="1:25" ht="23.25" customHeight="1" x14ac:dyDescent="0.25">
      <c r="A18" s="103"/>
      <c r="B18" s="14">
        <v>15</v>
      </c>
      <c r="C18" s="3" t="s">
        <v>195</v>
      </c>
      <c r="D18" s="4" t="s">
        <v>35</v>
      </c>
      <c r="E18" s="5">
        <v>5200000</v>
      </c>
      <c r="F18" s="12">
        <v>26</v>
      </c>
      <c r="G18" s="5">
        <f t="shared" si="6"/>
        <v>4506666.666666667</v>
      </c>
      <c r="H18" s="5"/>
      <c r="I18" s="5"/>
      <c r="J18" s="5"/>
      <c r="K18" s="5">
        <v>375555</v>
      </c>
      <c r="L18" s="5">
        <f>SUM(G18:J18)+K18</f>
        <v>4882221.666666667</v>
      </c>
      <c r="M18" s="5">
        <f>+G18*4%</f>
        <v>180266.66666666669</v>
      </c>
      <c r="N18" s="5">
        <f>+G18*5%</f>
        <v>225333.33333333337</v>
      </c>
      <c r="O18" s="5"/>
      <c r="P18" s="5"/>
      <c r="Q18" s="5">
        <v>118000</v>
      </c>
      <c r="R18" s="5"/>
      <c r="S18" s="5"/>
      <c r="T18" s="5"/>
      <c r="U18" s="5">
        <f t="shared" ref="U18" si="16">SUM(M18:T18)</f>
        <v>523600.00000000006</v>
      </c>
      <c r="V18" s="7">
        <f t="shared" si="14"/>
        <v>4358621.666666667</v>
      </c>
      <c r="W18" s="8"/>
      <c r="X18" s="9"/>
      <c r="Y18" s="8">
        <f t="shared" si="3"/>
        <v>4358621.666666667</v>
      </c>
    </row>
    <row r="19" spans="1:25" x14ac:dyDescent="0.25">
      <c r="A19" s="103"/>
      <c r="B19" s="14">
        <v>16</v>
      </c>
      <c r="C19" s="11" t="s">
        <v>41</v>
      </c>
      <c r="D19" s="6" t="s">
        <v>27</v>
      </c>
      <c r="E19" s="5">
        <v>5500000</v>
      </c>
      <c r="F19" s="12">
        <v>30</v>
      </c>
      <c r="G19" s="5">
        <f>+E19-K19</f>
        <v>2933333</v>
      </c>
      <c r="H19" s="5"/>
      <c r="I19" s="5"/>
      <c r="J19" s="5">
        <v>450000</v>
      </c>
      <c r="K19" s="5">
        <v>2566667</v>
      </c>
      <c r="L19" s="5">
        <f t="shared" si="2"/>
        <v>5950000</v>
      </c>
      <c r="M19" s="5">
        <f>+E19*4%</f>
        <v>220000</v>
      </c>
      <c r="N19" s="5">
        <f>+E19*5%</f>
        <v>275000</v>
      </c>
      <c r="O19" s="5"/>
      <c r="P19" s="5"/>
      <c r="Q19" s="17">
        <v>150521</v>
      </c>
      <c r="R19" s="5">
        <v>1365000</v>
      </c>
      <c r="S19" s="5"/>
      <c r="T19" s="5"/>
      <c r="U19" s="5">
        <f t="shared" si="0"/>
        <v>2010521</v>
      </c>
      <c r="V19" s="7">
        <f t="shared" si="9"/>
        <v>3939479</v>
      </c>
      <c r="W19" s="8"/>
      <c r="X19" s="9"/>
      <c r="Y19" s="8">
        <f t="shared" si="3"/>
        <v>3939479</v>
      </c>
    </row>
    <row r="20" spans="1:25" ht="24" x14ac:dyDescent="0.25">
      <c r="A20" s="103"/>
      <c r="B20" s="14">
        <v>17</v>
      </c>
      <c r="C20" s="11" t="s">
        <v>43</v>
      </c>
      <c r="D20" s="6" t="s">
        <v>27</v>
      </c>
      <c r="E20" s="5">
        <v>5350000</v>
      </c>
      <c r="F20" s="12">
        <v>30</v>
      </c>
      <c r="G20" s="5">
        <f t="shared" si="6"/>
        <v>5350000</v>
      </c>
      <c r="H20" s="5"/>
      <c r="I20" s="5"/>
      <c r="J20" s="5">
        <v>1000000</v>
      </c>
      <c r="K20" s="5"/>
      <c r="L20" s="5">
        <f t="shared" si="2"/>
        <v>6350000</v>
      </c>
      <c r="M20" s="5">
        <v>214000</v>
      </c>
      <c r="N20" s="5">
        <f>214000+53500</f>
        <v>267500</v>
      </c>
      <c r="O20" s="5"/>
      <c r="P20" s="5"/>
      <c r="Q20" s="17">
        <v>121000</v>
      </c>
      <c r="R20" s="5"/>
      <c r="S20" s="5"/>
      <c r="T20" s="19">
        <v>810005</v>
      </c>
      <c r="U20" s="5">
        <f>SUM(M20:T20)</f>
        <v>1412505</v>
      </c>
      <c r="V20" s="7">
        <f>L20-U20</f>
        <v>4937495</v>
      </c>
      <c r="W20" s="8"/>
      <c r="X20" s="9"/>
      <c r="Y20" s="8">
        <f t="shared" si="3"/>
        <v>4937495</v>
      </c>
    </row>
    <row r="21" spans="1:25" x14ac:dyDescent="0.25">
      <c r="A21" s="103"/>
      <c r="B21" s="14">
        <v>18</v>
      </c>
      <c r="C21" s="11" t="s">
        <v>44</v>
      </c>
      <c r="D21" s="6" t="s">
        <v>27</v>
      </c>
      <c r="E21" s="5">
        <v>6600000</v>
      </c>
      <c r="F21" s="12">
        <v>30</v>
      </c>
      <c r="G21" s="5">
        <f t="shared" si="6"/>
        <v>6600000</v>
      </c>
      <c r="H21" s="5"/>
      <c r="I21" s="5"/>
      <c r="J21" s="5"/>
      <c r="K21" s="5"/>
      <c r="L21" s="5">
        <f t="shared" si="2"/>
        <v>6600000</v>
      </c>
      <c r="M21" s="5">
        <f>+G21*4%</f>
        <v>264000</v>
      </c>
      <c r="N21" s="5">
        <f>+G21*5%</f>
        <v>330000</v>
      </c>
      <c r="O21" s="5"/>
      <c r="P21" s="5"/>
      <c r="Q21" s="17">
        <v>180000</v>
      </c>
      <c r="R21" s="5"/>
      <c r="S21" s="5"/>
      <c r="T21" s="18"/>
      <c r="U21" s="5">
        <f t="shared" si="0"/>
        <v>774000</v>
      </c>
      <c r="V21" s="7">
        <f>L21-U21</f>
        <v>5826000</v>
      </c>
      <c r="W21" s="8"/>
      <c r="X21" s="9"/>
      <c r="Y21" s="8">
        <f t="shared" si="3"/>
        <v>5826000</v>
      </c>
    </row>
    <row r="22" spans="1:25" x14ac:dyDescent="0.25">
      <c r="A22" s="103"/>
      <c r="B22" s="14">
        <v>19</v>
      </c>
      <c r="C22" s="11" t="s">
        <v>45</v>
      </c>
      <c r="D22" s="6" t="s">
        <v>27</v>
      </c>
      <c r="E22" s="5">
        <v>6900000</v>
      </c>
      <c r="F22" s="12">
        <v>30</v>
      </c>
      <c r="G22" s="5">
        <f t="shared" si="6"/>
        <v>6900000</v>
      </c>
      <c r="H22" s="5"/>
      <c r="I22" s="5"/>
      <c r="J22" s="5">
        <v>1400000</v>
      </c>
      <c r="K22" s="5"/>
      <c r="L22" s="5">
        <f t="shared" ref="L22" si="17">SUM(G22:J22)+K22</f>
        <v>8300000</v>
      </c>
      <c r="M22" s="5">
        <f t="shared" ref="M22" si="18">+G22*4%</f>
        <v>276000</v>
      </c>
      <c r="N22" s="5">
        <f t="shared" ref="N22" si="19">+G22*5%</f>
        <v>345000</v>
      </c>
      <c r="O22" s="5"/>
      <c r="P22" s="5"/>
      <c r="Q22" s="17">
        <v>113000</v>
      </c>
      <c r="R22" s="5">
        <v>1300000</v>
      </c>
      <c r="S22" s="5"/>
      <c r="T22" s="18"/>
      <c r="U22" s="5">
        <f t="shared" ref="U22" si="20">SUM(M22:T22)</f>
        <v>2034000</v>
      </c>
      <c r="V22" s="7">
        <f>L22-U22</f>
        <v>6266000</v>
      </c>
      <c r="W22" s="8"/>
      <c r="X22" s="9"/>
      <c r="Y22" s="8">
        <f t="shared" si="3"/>
        <v>6266000</v>
      </c>
    </row>
    <row r="23" spans="1:25" x14ac:dyDescent="0.25">
      <c r="A23" s="103"/>
      <c r="B23" s="14">
        <v>20</v>
      </c>
      <c r="C23" s="11" t="s">
        <v>47</v>
      </c>
      <c r="D23" s="6" t="s">
        <v>27</v>
      </c>
      <c r="E23" s="5">
        <v>5000000</v>
      </c>
      <c r="F23" s="12">
        <v>30</v>
      </c>
      <c r="G23" s="5">
        <f t="shared" si="6"/>
        <v>5000000</v>
      </c>
      <c r="H23" s="5"/>
      <c r="I23" s="5"/>
      <c r="J23" s="5">
        <v>1621317</v>
      </c>
      <c r="K23" s="5"/>
      <c r="L23" s="5">
        <f>SUM(G23:J23)+K23</f>
        <v>6621317</v>
      </c>
      <c r="M23" s="5">
        <v>200000</v>
      </c>
      <c r="N23" s="5">
        <v>250000</v>
      </c>
      <c r="O23" s="5"/>
      <c r="P23" s="5"/>
      <c r="Q23" s="17">
        <v>50000</v>
      </c>
      <c r="R23" s="5"/>
      <c r="S23" s="5"/>
      <c r="T23" s="19">
        <f>884747</f>
        <v>884747</v>
      </c>
      <c r="U23" s="5">
        <f t="shared" si="0"/>
        <v>1384747</v>
      </c>
      <c r="V23" s="7">
        <f>+L23-U23</f>
        <v>5236570</v>
      </c>
      <c r="W23" s="8"/>
      <c r="X23" s="9"/>
      <c r="Y23" s="8">
        <f t="shared" si="3"/>
        <v>5236570</v>
      </c>
    </row>
    <row r="24" spans="1:25" x14ac:dyDescent="0.25">
      <c r="A24" s="103"/>
      <c r="B24" s="14">
        <v>21</v>
      </c>
      <c r="C24" s="11" t="s">
        <v>48</v>
      </c>
      <c r="D24" s="6" t="s">
        <v>27</v>
      </c>
      <c r="E24" s="5">
        <v>4500000</v>
      </c>
      <c r="F24" s="12">
        <v>30</v>
      </c>
      <c r="G24" s="5">
        <f t="shared" si="6"/>
        <v>4500000</v>
      </c>
      <c r="H24" s="5"/>
      <c r="I24" s="5"/>
      <c r="J24" s="5"/>
      <c r="K24" s="5">
        <v>0</v>
      </c>
      <c r="L24" s="5">
        <f t="shared" si="2"/>
        <v>4500000</v>
      </c>
      <c r="M24" s="5">
        <v>180000</v>
      </c>
      <c r="N24" s="5">
        <v>225000</v>
      </c>
      <c r="O24" s="5"/>
      <c r="P24" s="5"/>
      <c r="Q24" s="17">
        <v>31000</v>
      </c>
      <c r="R24" s="5"/>
      <c r="S24" s="5"/>
      <c r="T24" s="5"/>
      <c r="U24" s="5">
        <f t="shared" si="0"/>
        <v>436000</v>
      </c>
      <c r="V24" s="7">
        <f>+L24-U24</f>
        <v>4064000</v>
      </c>
      <c r="W24" s="8"/>
      <c r="X24" s="9"/>
      <c r="Y24" s="8">
        <f t="shared" si="3"/>
        <v>4064000</v>
      </c>
    </row>
    <row r="25" spans="1:25" x14ac:dyDescent="0.25">
      <c r="A25" s="103"/>
      <c r="B25" s="14">
        <v>22</v>
      </c>
      <c r="C25" s="11" t="s">
        <v>49</v>
      </c>
      <c r="D25" s="6" t="s">
        <v>27</v>
      </c>
      <c r="E25" s="5">
        <v>5500000</v>
      </c>
      <c r="F25" s="12">
        <v>30</v>
      </c>
      <c r="G25" s="5">
        <f t="shared" si="6"/>
        <v>5500000</v>
      </c>
      <c r="H25" s="5"/>
      <c r="I25" s="5"/>
      <c r="J25" s="5"/>
      <c r="K25" s="5"/>
      <c r="L25" s="5">
        <f t="shared" ref="L25" si="21">SUM(G25:J25)+K25</f>
        <v>5500000</v>
      </c>
      <c r="M25" s="5">
        <f>+E25*4%</f>
        <v>220000</v>
      </c>
      <c r="N25" s="5">
        <f>+E25*5%</f>
        <v>275000</v>
      </c>
      <c r="O25" s="5"/>
      <c r="P25" s="5"/>
      <c r="Q25" s="17">
        <v>141000</v>
      </c>
      <c r="R25" s="5"/>
      <c r="S25" s="5"/>
      <c r="T25" s="5"/>
      <c r="U25" s="5">
        <f t="shared" ref="U25" si="22">SUM(M25:T25)</f>
        <v>636000</v>
      </c>
      <c r="V25" s="7">
        <f>+L25-U25</f>
        <v>4864000</v>
      </c>
      <c r="W25" s="8"/>
      <c r="X25" s="9"/>
      <c r="Y25" s="8">
        <f t="shared" si="3"/>
        <v>4864000</v>
      </c>
    </row>
    <row r="26" spans="1:25" x14ac:dyDescent="0.25">
      <c r="A26" s="103"/>
      <c r="B26" s="14">
        <v>23</v>
      </c>
      <c r="C26" s="11" t="s">
        <v>193</v>
      </c>
      <c r="D26" s="6"/>
      <c r="E26" s="5">
        <v>6600000</v>
      </c>
      <c r="F26" s="12">
        <v>30</v>
      </c>
      <c r="G26" s="5">
        <f t="shared" si="6"/>
        <v>6600000</v>
      </c>
      <c r="H26" s="5"/>
      <c r="I26" s="5"/>
      <c r="J26" s="5"/>
      <c r="K26" s="5">
        <v>678333</v>
      </c>
      <c r="L26" s="5">
        <f t="shared" ref="L26" si="23">SUM(G26:J26)+K26</f>
        <v>7278333</v>
      </c>
      <c r="M26" s="5">
        <f>+G26*4%</f>
        <v>264000</v>
      </c>
      <c r="N26" s="5">
        <f>+G26*5%</f>
        <v>330000</v>
      </c>
      <c r="O26" s="5"/>
      <c r="P26" s="5"/>
      <c r="Q26" s="17">
        <v>281000</v>
      </c>
      <c r="R26" s="5"/>
      <c r="S26" s="5"/>
      <c r="T26" s="5"/>
      <c r="U26" s="5">
        <f>SUM(M26:T26)</f>
        <v>875000</v>
      </c>
      <c r="V26" s="7">
        <f>+L26-U26</f>
        <v>6403333</v>
      </c>
      <c r="W26" s="8"/>
      <c r="X26" s="9"/>
      <c r="Y26" s="8">
        <f>V26+W26-X26</f>
        <v>6403333</v>
      </c>
    </row>
    <row r="27" spans="1:25" x14ac:dyDescent="0.25">
      <c r="A27" s="103"/>
      <c r="B27" s="14">
        <v>24</v>
      </c>
      <c r="C27" s="11" t="s">
        <v>50</v>
      </c>
      <c r="D27" s="6" t="s">
        <v>27</v>
      </c>
      <c r="E27" s="5">
        <v>4500000</v>
      </c>
      <c r="F27" s="12">
        <v>23</v>
      </c>
      <c r="G27" s="5">
        <f t="shared" si="6"/>
        <v>3450000</v>
      </c>
      <c r="H27" s="5"/>
      <c r="I27" s="5"/>
      <c r="J27" s="5"/>
      <c r="K27" s="5">
        <f>+E27-G27+1200000</f>
        <v>2250000</v>
      </c>
      <c r="L27" s="5">
        <f t="shared" ref="L27" si="24">SUM(G27:J27)+K27</f>
        <v>5700000</v>
      </c>
      <c r="M27" s="5">
        <f>+L27*4%</f>
        <v>228000</v>
      </c>
      <c r="N27" s="5">
        <f>+L27*5%</f>
        <v>285000</v>
      </c>
      <c r="O27" s="5"/>
      <c r="P27" s="5"/>
      <c r="Q27" s="17">
        <v>72000</v>
      </c>
      <c r="R27" s="5"/>
      <c r="S27" s="5"/>
      <c r="T27" s="5"/>
      <c r="U27" s="5">
        <f t="shared" ref="U27" si="25">SUM(M27:T27)</f>
        <v>585000</v>
      </c>
      <c r="V27" s="7">
        <f>+L27-U27</f>
        <v>5115000</v>
      </c>
      <c r="W27" s="8"/>
      <c r="X27" s="9"/>
      <c r="Y27" s="8">
        <f t="shared" ref="Y27:Y89" si="26">V27+W27-X27</f>
        <v>5115000</v>
      </c>
    </row>
    <row r="28" spans="1:25" x14ac:dyDescent="0.25">
      <c r="A28" s="103"/>
      <c r="B28" s="14">
        <v>25</v>
      </c>
      <c r="C28" s="11" t="s">
        <v>51</v>
      </c>
      <c r="D28" s="6" t="s">
        <v>27</v>
      </c>
      <c r="E28" s="5">
        <v>6000000</v>
      </c>
      <c r="F28" s="12">
        <v>29</v>
      </c>
      <c r="G28" s="5">
        <f t="shared" si="6"/>
        <v>5800000</v>
      </c>
      <c r="H28" s="5"/>
      <c r="I28" s="5"/>
      <c r="J28" s="5"/>
      <c r="K28" s="5">
        <f>+E28-G28</f>
        <v>200000</v>
      </c>
      <c r="L28" s="5">
        <f t="shared" si="2"/>
        <v>6000000</v>
      </c>
      <c r="M28" s="5">
        <f>+E28*4%</f>
        <v>240000</v>
      </c>
      <c r="N28" s="5">
        <f>E28*5%</f>
        <v>300000</v>
      </c>
      <c r="O28" s="5"/>
      <c r="P28" s="5"/>
      <c r="Q28" s="17">
        <v>79000</v>
      </c>
      <c r="R28" s="5"/>
      <c r="S28" s="5"/>
      <c r="T28" s="5"/>
      <c r="U28" s="5">
        <f t="shared" si="0"/>
        <v>619000</v>
      </c>
      <c r="V28" s="7">
        <f>L28-U28</f>
        <v>5381000</v>
      </c>
      <c r="W28" s="8"/>
      <c r="X28" s="9"/>
      <c r="Y28" s="8">
        <f t="shared" si="26"/>
        <v>5381000</v>
      </c>
    </row>
    <row r="29" spans="1:25" ht="16.5" customHeight="1" x14ac:dyDescent="0.25">
      <c r="A29" s="103"/>
      <c r="B29" s="14">
        <v>26</v>
      </c>
      <c r="C29" s="11" t="s">
        <v>53</v>
      </c>
      <c r="D29" s="6" t="s">
        <v>27</v>
      </c>
      <c r="E29" s="5">
        <v>3500000</v>
      </c>
      <c r="F29" s="12">
        <v>30</v>
      </c>
      <c r="G29" s="5">
        <f>+E29-K29</f>
        <v>2683333</v>
      </c>
      <c r="H29" s="5"/>
      <c r="I29" s="5"/>
      <c r="J29" s="5"/>
      <c r="K29" s="5">
        <v>816667</v>
      </c>
      <c r="L29" s="5">
        <f>SUM(G29:J29)+K29</f>
        <v>3500000</v>
      </c>
      <c r="M29" s="5">
        <v>140000</v>
      </c>
      <c r="N29" s="5">
        <v>175000</v>
      </c>
      <c r="O29" s="5"/>
      <c r="P29" s="5"/>
      <c r="Q29" s="17">
        <v>0</v>
      </c>
      <c r="R29" s="5"/>
      <c r="S29" s="5">
        <v>111000</v>
      </c>
      <c r="T29" s="5"/>
      <c r="U29" s="5">
        <f t="shared" ref="U29" si="27">SUM(M29:T29)</f>
        <v>426000</v>
      </c>
      <c r="V29" s="7">
        <f>L29-U29</f>
        <v>3074000</v>
      </c>
      <c r="W29" s="8"/>
      <c r="X29" s="9"/>
      <c r="Y29" s="8">
        <f t="shared" si="26"/>
        <v>3074000</v>
      </c>
    </row>
    <row r="30" spans="1:25" x14ac:dyDescent="0.25">
      <c r="A30" s="103"/>
      <c r="B30" s="14">
        <v>27</v>
      </c>
      <c r="C30" s="11" t="s">
        <v>54</v>
      </c>
      <c r="D30" s="6" t="s">
        <v>27</v>
      </c>
      <c r="E30" s="5">
        <v>4800000</v>
      </c>
      <c r="F30" s="12">
        <v>30</v>
      </c>
      <c r="G30" s="5">
        <f t="shared" si="6"/>
        <v>4800000</v>
      </c>
      <c r="H30" s="5"/>
      <c r="I30" s="5"/>
      <c r="J30" s="5"/>
      <c r="K30" s="5"/>
      <c r="L30" s="5">
        <f>+G30+H30+I30+J30+K30</f>
        <v>4800000</v>
      </c>
      <c r="M30" s="5">
        <f>+E30*4%</f>
        <v>192000</v>
      </c>
      <c r="N30" s="5">
        <f>+E30*5%</f>
        <v>240000</v>
      </c>
      <c r="O30" s="5"/>
      <c r="P30" s="5"/>
      <c r="Q30" s="5">
        <v>0</v>
      </c>
      <c r="R30" s="5">
        <v>1150000</v>
      </c>
      <c r="S30" s="5"/>
      <c r="T30" s="19">
        <v>209579</v>
      </c>
      <c r="U30" s="5">
        <f t="shared" si="0"/>
        <v>1791579</v>
      </c>
      <c r="V30" s="7">
        <f>L30-U30</f>
        <v>3008421</v>
      </c>
      <c r="W30" s="8"/>
      <c r="X30" s="9"/>
      <c r="Y30" s="8">
        <f t="shared" si="26"/>
        <v>3008421</v>
      </c>
    </row>
    <row r="31" spans="1:25" ht="25.5" customHeight="1" x14ac:dyDescent="0.25">
      <c r="A31" s="103"/>
      <c r="B31" s="14">
        <v>28</v>
      </c>
      <c r="C31" s="11" t="s">
        <v>55</v>
      </c>
      <c r="D31" s="6" t="s">
        <v>27</v>
      </c>
      <c r="E31" s="5">
        <v>4280000</v>
      </c>
      <c r="F31" s="12">
        <v>19</v>
      </c>
      <c r="G31" s="5">
        <f t="shared" si="6"/>
        <v>2710666.6666666665</v>
      </c>
      <c r="H31" s="5"/>
      <c r="I31" s="5"/>
      <c r="J31" s="5"/>
      <c r="K31" s="5">
        <f>+E31-G31</f>
        <v>1569333.3333333335</v>
      </c>
      <c r="L31" s="5">
        <f t="shared" si="2"/>
        <v>4280000</v>
      </c>
      <c r="M31" s="5">
        <f>+L31*4%</f>
        <v>171200</v>
      </c>
      <c r="N31" s="5">
        <f>+L31*5%</f>
        <v>214000</v>
      </c>
      <c r="O31" s="5"/>
      <c r="P31" s="5"/>
      <c r="Q31" s="17">
        <v>31064</v>
      </c>
      <c r="R31" s="5"/>
      <c r="S31" s="5"/>
      <c r="T31" s="5"/>
      <c r="U31" s="5">
        <f t="shared" si="0"/>
        <v>416264</v>
      </c>
      <c r="V31" s="7">
        <f>L31-U31</f>
        <v>3863736</v>
      </c>
      <c r="W31" s="8"/>
      <c r="X31" s="9"/>
      <c r="Y31" s="8">
        <f t="shared" si="26"/>
        <v>3863736</v>
      </c>
    </row>
    <row r="32" spans="1:25" x14ac:dyDescent="0.25">
      <c r="A32" s="103"/>
      <c r="B32" s="14">
        <v>29</v>
      </c>
      <c r="C32" s="11" t="s">
        <v>111</v>
      </c>
      <c r="D32" s="6" t="s">
        <v>27</v>
      </c>
      <c r="E32" s="5">
        <v>3500000</v>
      </c>
      <c r="F32" s="12">
        <v>30</v>
      </c>
      <c r="G32" s="5">
        <f t="shared" si="6"/>
        <v>3500000</v>
      </c>
      <c r="H32" s="5"/>
      <c r="I32" s="5"/>
      <c r="J32" s="5"/>
      <c r="K32" s="5"/>
      <c r="L32" s="5">
        <f>SUM(G32:J32)+K32</f>
        <v>3500000</v>
      </c>
      <c r="M32" s="5">
        <f>+E32*4%</f>
        <v>140000</v>
      </c>
      <c r="N32" s="5">
        <f>+E32*5%</f>
        <v>175000</v>
      </c>
      <c r="O32" s="5"/>
      <c r="P32" s="5"/>
      <c r="Q32" s="5">
        <v>0</v>
      </c>
      <c r="R32" s="5"/>
      <c r="S32" s="5"/>
      <c r="T32" s="19">
        <v>257196</v>
      </c>
      <c r="U32" s="5">
        <f>SUM(M32:T32)</f>
        <v>572196</v>
      </c>
      <c r="V32" s="7">
        <f>+L32-U32</f>
        <v>2927804</v>
      </c>
      <c r="W32" s="8"/>
      <c r="X32" s="9"/>
      <c r="Y32" s="8">
        <f t="shared" si="26"/>
        <v>2927804</v>
      </c>
    </row>
    <row r="33" spans="1:27" x14ac:dyDescent="0.25">
      <c r="A33" s="103"/>
      <c r="B33" s="14">
        <v>30</v>
      </c>
      <c r="C33" s="11" t="s">
        <v>196</v>
      </c>
      <c r="D33" s="6"/>
      <c r="E33" s="5">
        <v>4500000</v>
      </c>
      <c r="F33" s="12">
        <v>13</v>
      </c>
      <c r="G33" s="5">
        <f t="shared" si="6"/>
        <v>1950000</v>
      </c>
      <c r="H33" s="5"/>
      <c r="I33" s="5"/>
      <c r="J33" s="5"/>
      <c r="K33" s="5">
        <v>162500</v>
      </c>
      <c r="L33" s="5">
        <f>SUM(G33:J33)+K33</f>
        <v>2112500</v>
      </c>
      <c r="M33" s="5">
        <f>+G33*4%</f>
        <v>78000</v>
      </c>
      <c r="N33" s="5">
        <f>+G33*4%</f>
        <v>78000</v>
      </c>
      <c r="O33" s="5"/>
      <c r="P33" s="5"/>
      <c r="Q33" s="5">
        <v>1400</v>
      </c>
      <c r="R33" s="5"/>
      <c r="S33" s="5"/>
      <c r="T33" s="5"/>
      <c r="U33" s="5">
        <f>SUM(M33:T33)</f>
        <v>157400</v>
      </c>
      <c r="V33" s="7">
        <f>+L33-U33</f>
        <v>1955100</v>
      </c>
      <c r="W33" s="8"/>
      <c r="X33" s="9"/>
      <c r="Y33" s="8">
        <f t="shared" si="26"/>
        <v>1955100</v>
      </c>
    </row>
    <row r="34" spans="1:27" x14ac:dyDescent="0.25">
      <c r="A34" s="103"/>
      <c r="B34" s="14">
        <v>31</v>
      </c>
      <c r="C34" s="11" t="s">
        <v>56</v>
      </c>
      <c r="D34" s="6" t="s">
        <v>27</v>
      </c>
      <c r="E34" s="5">
        <v>6000000</v>
      </c>
      <c r="F34" s="12">
        <v>30</v>
      </c>
      <c r="G34" s="5">
        <f t="shared" si="6"/>
        <v>6000000</v>
      </c>
      <c r="H34" s="5"/>
      <c r="I34" s="5"/>
      <c r="J34" s="5"/>
      <c r="K34" s="5"/>
      <c r="L34" s="5">
        <f t="shared" si="2"/>
        <v>6000000</v>
      </c>
      <c r="M34" s="5">
        <f>+L34*4%</f>
        <v>240000</v>
      </c>
      <c r="N34" s="5">
        <f>+L34*5%</f>
        <v>300000</v>
      </c>
      <c r="O34" s="5"/>
      <c r="P34" s="5"/>
      <c r="Q34" s="5">
        <v>208000</v>
      </c>
      <c r="R34" s="5"/>
      <c r="S34" s="5">
        <v>122614</v>
      </c>
      <c r="T34" s="5"/>
      <c r="U34" s="5">
        <f t="shared" si="0"/>
        <v>870614</v>
      </c>
      <c r="V34" s="7">
        <f t="shared" ref="V34:V35" si="28">+L34-U34</f>
        <v>5129386</v>
      </c>
      <c r="W34" s="8"/>
      <c r="X34" s="9"/>
      <c r="Y34" s="8">
        <f t="shared" si="26"/>
        <v>5129386</v>
      </c>
    </row>
    <row r="35" spans="1:27" x14ac:dyDescent="0.25">
      <c r="A35" s="103"/>
      <c r="B35" s="14">
        <v>32</v>
      </c>
      <c r="C35" s="11" t="s">
        <v>57</v>
      </c>
      <c r="D35" s="6" t="s">
        <v>27</v>
      </c>
      <c r="E35" s="5">
        <v>4500000</v>
      </c>
      <c r="F35" s="12">
        <v>30</v>
      </c>
      <c r="G35" s="5">
        <f t="shared" si="6"/>
        <v>4500000</v>
      </c>
      <c r="H35" s="5"/>
      <c r="I35" s="5"/>
      <c r="J35" s="5">
        <v>500000</v>
      </c>
      <c r="K35" s="5"/>
      <c r="L35" s="5">
        <f t="shared" si="2"/>
        <v>5000000</v>
      </c>
      <c r="M35" s="5">
        <f t="shared" ref="M35" si="29">+G35*4%</f>
        <v>180000</v>
      </c>
      <c r="N35" s="5">
        <f t="shared" ref="N35" si="30">+G35*5%</f>
        <v>225000</v>
      </c>
      <c r="O35" s="5"/>
      <c r="P35" s="5"/>
      <c r="Q35" s="5">
        <v>11000</v>
      </c>
      <c r="R35" s="5"/>
      <c r="S35" s="5"/>
      <c r="T35" s="19">
        <v>551399</v>
      </c>
      <c r="U35" s="5">
        <f t="shared" si="0"/>
        <v>967399</v>
      </c>
      <c r="V35" s="7">
        <f t="shared" si="28"/>
        <v>4032601</v>
      </c>
      <c r="W35" s="8"/>
      <c r="X35" s="9"/>
      <c r="Y35" s="8">
        <f t="shared" si="26"/>
        <v>4032601</v>
      </c>
    </row>
    <row r="36" spans="1:27" ht="24.75" customHeight="1" x14ac:dyDescent="0.25">
      <c r="A36" s="103"/>
      <c r="B36" s="14">
        <v>33</v>
      </c>
      <c r="C36" s="11" t="s">
        <v>59</v>
      </c>
      <c r="D36" s="6" t="s">
        <v>27</v>
      </c>
      <c r="E36" s="5">
        <v>6420000</v>
      </c>
      <c r="F36" s="12">
        <v>30</v>
      </c>
      <c r="G36" s="5">
        <f t="shared" si="6"/>
        <v>6420000</v>
      </c>
      <c r="H36" s="5"/>
      <c r="I36" s="5"/>
      <c r="J36" s="5"/>
      <c r="K36" s="5"/>
      <c r="L36" s="5">
        <f>SUM(G36:J36)+K36</f>
        <v>6420000</v>
      </c>
      <c r="M36" s="5">
        <f>+E36*4%</f>
        <v>256800</v>
      </c>
      <c r="N36" s="5">
        <f>+E36*5%</f>
        <v>321000</v>
      </c>
      <c r="O36" s="5"/>
      <c r="P36" s="5"/>
      <c r="Q36" s="5">
        <v>231000</v>
      </c>
      <c r="R36" s="5"/>
      <c r="S36" s="5"/>
      <c r="T36" s="5"/>
      <c r="U36" s="5">
        <f t="shared" si="0"/>
        <v>808800</v>
      </c>
      <c r="V36" s="7">
        <f>+L36-U36</f>
        <v>5611200</v>
      </c>
      <c r="W36" s="8"/>
      <c r="X36" s="9"/>
      <c r="Y36" s="8">
        <f t="shared" si="26"/>
        <v>5611200</v>
      </c>
    </row>
    <row r="37" spans="1:27" x14ac:dyDescent="0.25">
      <c r="A37" s="103"/>
      <c r="B37" s="14">
        <v>34</v>
      </c>
      <c r="C37" s="3" t="s">
        <v>60</v>
      </c>
      <c r="D37" s="4" t="s">
        <v>27</v>
      </c>
      <c r="E37" s="5">
        <v>6900000</v>
      </c>
      <c r="F37" s="12">
        <v>30</v>
      </c>
      <c r="G37" s="5">
        <f t="shared" si="6"/>
        <v>6900000</v>
      </c>
      <c r="H37" s="5"/>
      <c r="I37" s="5"/>
      <c r="J37" s="5">
        <v>1500000</v>
      </c>
      <c r="K37" s="5"/>
      <c r="L37" s="5">
        <f t="shared" ref="L37:L47" si="31">SUM(G37:J37)+K37</f>
        <v>8400000</v>
      </c>
      <c r="M37" s="5">
        <f>+E37*0.04</f>
        <v>276000</v>
      </c>
      <c r="N37" s="5">
        <f>+E37*0.05</f>
        <v>345000</v>
      </c>
      <c r="O37" s="5"/>
      <c r="P37" s="5"/>
      <c r="Q37" s="5">
        <v>345000</v>
      </c>
      <c r="R37" s="5"/>
      <c r="S37" s="5"/>
      <c r="T37" s="5"/>
      <c r="U37" s="5">
        <f t="shared" si="0"/>
        <v>966000</v>
      </c>
      <c r="V37" s="7">
        <f>L37-U37</f>
        <v>7434000</v>
      </c>
      <c r="W37" s="8"/>
      <c r="X37" s="9"/>
      <c r="Y37" s="8">
        <f t="shared" si="26"/>
        <v>7434000</v>
      </c>
    </row>
    <row r="38" spans="1:27" ht="19.5" customHeight="1" x14ac:dyDescent="0.25">
      <c r="A38" s="103"/>
      <c r="B38" s="14">
        <v>35</v>
      </c>
      <c r="C38" s="3" t="s">
        <v>62</v>
      </c>
      <c r="D38" s="4" t="s">
        <v>27</v>
      </c>
      <c r="E38" s="5">
        <v>5500000</v>
      </c>
      <c r="F38" s="12">
        <v>30</v>
      </c>
      <c r="G38" s="5">
        <f t="shared" si="6"/>
        <v>5500000</v>
      </c>
      <c r="H38" s="5"/>
      <c r="I38" s="5"/>
      <c r="J38" s="5">
        <v>500000</v>
      </c>
      <c r="K38" s="5"/>
      <c r="L38" s="5">
        <f t="shared" ref="L38" si="32">SUM(G38:J38)+K38</f>
        <v>6000000</v>
      </c>
      <c r="M38" s="5">
        <f>+G38*4%</f>
        <v>220000</v>
      </c>
      <c r="N38" s="5">
        <f>+G38*5%</f>
        <v>275000</v>
      </c>
      <c r="O38" s="5"/>
      <c r="P38" s="5"/>
      <c r="Q38" s="5">
        <v>144000</v>
      </c>
      <c r="R38" s="5"/>
      <c r="S38" s="5"/>
      <c r="T38" s="5"/>
      <c r="U38" s="5">
        <f t="shared" ref="U38" si="33">SUM(M38:T38)</f>
        <v>639000</v>
      </c>
      <c r="V38" s="7">
        <f t="shared" ref="V38" si="34">L38-U38</f>
        <v>5361000</v>
      </c>
      <c r="W38" s="8"/>
      <c r="X38" s="9"/>
      <c r="Y38" s="8">
        <f t="shared" si="26"/>
        <v>5361000</v>
      </c>
    </row>
    <row r="39" spans="1:27" x14ac:dyDescent="0.25">
      <c r="A39" s="103"/>
      <c r="B39" s="14">
        <v>36</v>
      </c>
      <c r="C39" s="11" t="s">
        <v>63</v>
      </c>
      <c r="D39" s="6" t="s">
        <v>27</v>
      </c>
      <c r="E39" s="5">
        <v>5350000</v>
      </c>
      <c r="F39" s="12">
        <v>30</v>
      </c>
      <c r="G39" s="5">
        <f t="shared" si="6"/>
        <v>5350000</v>
      </c>
      <c r="H39" s="5"/>
      <c r="I39" s="5"/>
      <c r="J39" s="5"/>
      <c r="K39" s="5"/>
      <c r="L39" s="5">
        <f t="shared" si="31"/>
        <v>5350000</v>
      </c>
      <c r="M39" s="5">
        <v>214000</v>
      </c>
      <c r="N39" s="5">
        <v>267500</v>
      </c>
      <c r="O39" s="5"/>
      <c r="P39" s="5"/>
      <c r="Q39" s="5">
        <v>121000</v>
      </c>
      <c r="R39" s="5"/>
      <c r="S39" s="5"/>
      <c r="T39" s="5"/>
      <c r="U39" s="5">
        <f>SUM(M39:T39)</f>
        <v>602500</v>
      </c>
      <c r="V39" s="7">
        <f t="shared" ref="V39:V44" si="35">+L39-U39</f>
        <v>4747500</v>
      </c>
      <c r="W39" s="8"/>
      <c r="X39" s="9"/>
      <c r="Y39" s="8">
        <f t="shared" si="26"/>
        <v>4747500</v>
      </c>
    </row>
    <row r="40" spans="1:27" ht="17.25" customHeight="1" x14ac:dyDescent="0.25">
      <c r="A40" s="103"/>
      <c r="B40" s="14">
        <v>37</v>
      </c>
      <c r="C40" s="11" t="s">
        <v>149</v>
      </c>
      <c r="D40" s="6"/>
      <c r="E40" s="5">
        <v>4000000</v>
      </c>
      <c r="F40" s="12">
        <v>30</v>
      </c>
      <c r="G40" s="5">
        <f t="shared" si="6"/>
        <v>4000000.0000000005</v>
      </c>
      <c r="H40" s="5"/>
      <c r="I40" s="5"/>
      <c r="J40" s="5"/>
      <c r="K40" s="5"/>
      <c r="L40" s="5">
        <f t="shared" ref="L40" si="36">SUM(G40:J40)+K40</f>
        <v>4000000.0000000005</v>
      </c>
      <c r="M40" s="5">
        <f>+G40*4%</f>
        <v>160000.00000000003</v>
      </c>
      <c r="N40" s="5">
        <f>+G40*5%</f>
        <v>200000.00000000003</v>
      </c>
      <c r="O40" s="5"/>
      <c r="P40" s="5"/>
      <c r="Q40" s="5">
        <v>0</v>
      </c>
      <c r="R40" s="5"/>
      <c r="S40" s="5"/>
      <c r="T40" s="5"/>
      <c r="U40" s="5">
        <f>SUM(M40:T40)</f>
        <v>360000.00000000006</v>
      </c>
      <c r="V40" s="7">
        <f t="shared" si="35"/>
        <v>3640000.0000000005</v>
      </c>
      <c r="W40" s="8"/>
      <c r="X40" s="9"/>
      <c r="Y40" s="8">
        <f t="shared" si="26"/>
        <v>3640000.0000000005</v>
      </c>
    </row>
    <row r="41" spans="1:27" ht="21" customHeight="1" x14ac:dyDescent="0.25">
      <c r="A41" s="103"/>
      <c r="B41" s="14">
        <v>38</v>
      </c>
      <c r="C41" s="11" t="s">
        <v>64</v>
      </c>
      <c r="D41" s="6" t="s">
        <v>27</v>
      </c>
      <c r="E41" s="5">
        <v>4500000</v>
      </c>
      <c r="F41" s="12">
        <v>30</v>
      </c>
      <c r="G41" s="5">
        <f>+E41-K41</f>
        <v>2295000</v>
      </c>
      <c r="H41" s="5"/>
      <c r="I41" s="5"/>
      <c r="J41" s="5"/>
      <c r="K41" s="5">
        <v>2205000</v>
      </c>
      <c r="L41" s="5">
        <f t="shared" si="31"/>
        <v>4500000</v>
      </c>
      <c r="M41" s="5">
        <f>+E41*4%</f>
        <v>180000</v>
      </c>
      <c r="N41" s="5">
        <f>+E41*5%</f>
        <v>225000</v>
      </c>
      <c r="O41" s="5"/>
      <c r="P41" s="5"/>
      <c r="Q41" s="5">
        <v>10000</v>
      </c>
      <c r="R41" s="5"/>
      <c r="S41" s="5"/>
      <c r="T41" s="85">
        <v>317224</v>
      </c>
      <c r="U41" s="5">
        <f>SUM(M41:T41)</f>
        <v>732224</v>
      </c>
      <c r="V41" s="7">
        <f t="shared" si="35"/>
        <v>3767776</v>
      </c>
      <c r="W41" s="8"/>
      <c r="X41" s="9"/>
      <c r="Y41" s="8">
        <f t="shared" si="26"/>
        <v>3767776</v>
      </c>
    </row>
    <row r="42" spans="1:27" ht="26.25" customHeight="1" x14ac:dyDescent="0.25">
      <c r="A42" s="103"/>
      <c r="B42" s="14">
        <v>39</v>
      </c>
      <c r="C42" s="11" t="s">
        <v>66</v>
      </c>
      <c r="D42" s="6" t="s">
        <v>27</v>
      </c>
      <c r="E42" s="5">
        <v>4800000</v>
      </c>
      <c r="F42" s="12">
        <v>30</v>
      </c>
      <c r="G42" s="5">
        <f>+E42-K42</f>
        <v>2400000</v>
      </c>
      <c r="H42" s="5"/>
      <c r="I42" s="5"/>
      <c r="J42" s="5"/>
      <c r="K42" s="5">
        <v>2400000</v>
      </c>
      <c r="L42" s="5">
        <f t="shared" ref="L42:L43" si="37">SUM(G42:J42)+K42</f>
        <v>4800000</v>
      </c>
      <c r="M42" s="5">
        <f>+E42*4%</f>
        <v>192000</v>
      </c>
      <c r="N42" s="5">
        <f>+E42*5%</f>
        <v>240000</v>
      </c>
      <c r="O42" s="5"/>
      <c r="P42" s="5"/>
      <c r="Q42" s="5">
        <v>51000</v>
      </c>
      <c r="R42" s="5"/>
      <c r="S42" s="5"/>
      <c r="T42" s="85">
        <v>1198791</v>
      </c>
      <c r="U42" s="5">
        <f t="shared" ref="U42:U43" si="38">SUM(M42:T42)</f>
        <v>1681791</v>
      </c>
      <c r="V42" s="7">
        <f t="shared" si="35"/>
        <v>3118209</v>
      </c>
      <c r="W42" s="8"/>
      <c r="X42" s="9"/>
      <c r="Y42" s="8">
        <f t="shared" si="26"/>
        <v>3118209</v>
      </c>
    </row>
    <row r="43" spans="1:27" ht="26.25" customHeight="1" x14ac:dyDescent="0.25">
      <c r="A43" s="103"/>
      <c r="B43" s="14">
        <v>40</v>
      </c>
      <c r="C43" s="11" t="s">
        <v>67</v>
      </c>
      <c r="D43" s="6"/>
      <c r="E43" s="5">
        <v>4000000</v>
      </c>
      <c r="F43" s="12">
        <v>30</v>
      </c>
      <c r="G43" s="5">
        <f t="shared" si="6"/>
        <v>4000000.0000000005</v>
      </c>
      <c r="H43" s="5"/>
      <c r="I43" s="5"/>
      <c r="J43" s="5"/>
      <c r="K43" s="5"/>
      <c r="L43" s="5">
        <f t="shared" si="37"/>
        <v>4000000.0000000005</v>
      </c>
      <c r="M43" s="5">
        <f>+G43*4%</f>
        <v>160000.00000000003</v>
      </c>
      <c r="N43" s="5">
        <f>+G43*5%</f>
        <v>200000.00000000003</v>
      </c>
      <c r="O43" s="5"/>
      <c r="P43" s="5"/>
      <c r="Q43" s="5">
        <v>4500</v>
      </c>
      <c r="R43" s="5"/>
      <c r="S43" s="5"/>
      <c r="T43" s="5"/>
      <c r="U43" s="5">
        <f t="shared" si="38"/>
        <v>364500.00000000006</v>
      </c>
      <c r="V43" s="7">
        <f t="shared" si="35"/>
        <v>3635500.0000000005</v>
      </c>
      <c r="W43" s="8"/>
      <c r="X43" s="9"/>
      <c r="Y43" s="8">
        <f t="shared" si="26"/>
        <v>3635500.0000000005</v>
      </c>
    </row>
    <row r="44" spans="1:27" ht="24" customHeight="1" x14ac:dyDescent="0.25">
      <c r="A44" s="103"/>
      <c r="B44" s="14">
        <v>41</v>
      </c>
      <c r="C44" s="11" t="s">
        <v>69</v>
      </c>
      <c r="D44" s="6" t="s">
        <v>27</v>
      </c>
      <c r="E44" s="5">
        <v>6000000</v>
      </c>
      <c r="F44" s="12">
        <v>30</v>
      </c>
      <c r="G44" s="5">
        <f t="shared" si="6"/>
        <v>6000000</v>
      </c>
      <c r="H44" s="5"/>
      <c r="I44" s="5"/>
      <c r="J44" s="5">
        <v>400000</v>
      </c>
      <c r="K44" s="5"/>
      <c r="L44" s="5">
        <f t="shared" si="31"/>
        <v>6400000</v>
      </c>
      <c r="M44" s="5">
        <f>+G44*4%</f>
        <v>240000</v>
      </c>
      <c r="N44" s="5">
        <f>+G44*5%</f>
        <v>300000</v>
      </c>
      <c r="O44" s="5"/>
      <c r="P44" s="5"/>
      <c r="Q44" s="5">
        <v>126000</v>
      </c>
      <c r="R44" s="5"/>
      <c r="S44" s="5"/>
      <c r="T44" s="5"/>
      <c r="U44" s="5">
        <f t="shared" si="0"/>
        <v>666000</v>
      </c>
      <c r="V44" s="7">
        <f t="shared" si="35"/>
        <v>5734000</v>
      </c>
      <c r="W44" s="8"/>
      <c r="X44" s="9"/>
      <c r="Y44" s="8">
        <f t="shared" si="26"/>
        <v>5734000</v>
      </c>
      <c r="Z44" s="8">
        <v>4886979</v>
      </c>
      <c r="AA44" s="20">
        <f>+Y44-Z44</f>
        <v>847021</v>
      </c>
    </row>
    <row r="45" spans="1:27" ht="30.75" customHeight="1" x14ac:dyDescent="0.25">
      <c r="A45" s="103"/>
      <c r="B45" s="14">
        <v>42</v>
      </c>
      <c r="C45" s="11" t="s">
        <v>197</v>
      </c>
      <c r="D45" s="6" t="s">
        <v>27</v>
      </c>
      <c r="E45" s="5">
        <v>4500000</v>
      </c>
      <c r="F45" s="12">
        <v>13</v>
      </c>
      <c r="G45" s="5">
        <f t="shared" si="6"/>
        <v>1950000</v>
      </c>
      <c r="H45" s="5"/>
      <c r="I45" s="5"/>
      <c r="J45" s="5"/>
      <c r="K45" s="5">
        <v>162500</v>
      </c>
      <c r="L45" s="5">
        <f t="shared" ref="L45" si="39">SUM(G45:J45)+K45</f>
        <v>2112500</v>
      </c>
      <c r="M45" s="5">
        <f>+G45*4%</f>
        <v>78000</v>
      </c>
      <c r="N45" s="5">
        <f>+G45*4%</f>
        <v>78000</v>
      </c>
      <c r="O45" s="5"/>
      <c r="P45" s="5"/>
      <c r="Q45" s="5">
        <v>1400</v>
      </c>
      <c r="R45" s="5"/>
      <c r="S45" s="5"/>
      <c r="T45" s="5"/>
      <c r="U45" s="5">
        <f t="shared" ref="U45" si="40">SUM(M45:T45)</f>
        <v>157400</v>
      </c>
      <c r="V45" s="7">
        <f t="shared" ref="V45:V49" si="41">L45-U45</f>
        <v>1955100</v>
      </c>
      <c r="W45" s="8"/>
      <c r="X45" s="9"/>
      <c r="Y45" s="8">
        <f t="shared" si="26"/>
        <v>1955100</v>
      </c>
    </row>
    <row r="46" spans="1:27" ht="30.75" customHeight="1" x14ac:dyDescent="0.25">
      <c r="A46" s="103"/>
      <c r="B46" s="14">
        <v>43</v>
      </c>
      <c r="C46" s="11" t="s">
        <v>70</v>
      </c>
      <c r="D46" s="6" t="s">
        <v>27</v>
      </c>
      <c r="E46" s="5">
        <v>6000000</v>
      </c>
      <c r="F46" s="12">
        <v>30</v>
      </c>
      <c r="G46" s="5">
        <f t="shared" si="6"/>
        <v>6000000</v>
      </c>
      <c r="H46" s="5"/>
      <c r="I46" s="5"/>
      <c r="J46" s="5">
        <v>400000</v>
      </c>
      <c r="K46" s="5"/>
      <c r="L46" s="5">
        <f t="shared" si="31"/>
        <v>6400000</v>
      </c>
      <c r="M46" s="5">
        <f>+G46*4%</f>
        <v>240000</v>
      </c>
      <c r="N46" s="5">
        <f>+G46*5%</f>
        <v>300000</v>
      </c>
      <c r="O46" s="5"/>
      <c r="P46" s="5"/>
      <c r="Q46" s="5">
        <v>120000</v>
      </c>
      <c r="R46" s="5"/>
      <c r="S46" s="5"/>
      <c r="T46" s="5"/>
      <c r="U46" s="5">
        <f t="shared" si="0"/>
        <v>660000</v>
      </c>
      <c r="V46" s="7">
        <f t="shared" si="41"/>
        <v>5740000</v>
      </c>
      <c r="W46" s="8"/>
      <c r="X46" s="9"/>
      <c r="Y46" s="8">
        <f t="shared" si="26"/>
        <v>5740000</v>
      </c>
    </row>
    <row r="47" spans="1:27" ht="18" customHeight="1" x14ac:dyDescent="0.25">
      <c r="A47" s="104"/>
      <c r="B47" s="14">
        <v>44</v>
      </c>
      <c r="C47" s="11" t="s">
        <v>72</v>
      </c>
      <c r="D47" s="6" t="s">
        <v>27</v>
      </c>
      <c r="E47" s="5">
        <v>4500000</v>
      </c>
      <c r="F47" s="12">
        <v>29</v>
      </c>
      <c r="G47" s="5">
        <f t="shared" si="6"/>
        <v>4350000</v>
      </c>
      <c r="H47" s="5">
        <v>100005</v>
      </c>
      <c r="I47" s="5"/>
      <c r="J47" s="5"/>
      <c r="K47" s="5"/>
      <c r="L47" s="5">
        <f t="shared" si="31"/>
        <v>4450005</v>
      </c>
      <c r="M47" s="5">
        <v>180000</v>
      </c>
      <c r="N47" s="5">
        <v>225000</v>
      </c>
      <c r="O47" s="5"/>
      <c r="P47" s="5"/>
      <c r="Q47" s="5">
        <v>31000</v>
      </c>
      <c r="R47" s="5"/>
      <c r="S47" s="5"/>
      <c r="T47" s="5"/>
      <c r="U47" s="5">
        <f t="shared" si="0"/>
        <v>436000</v>
      </c>
      <c r="V47" s="7">
        <f t="shared" si="41"/>
        <v>4014005</v>
      </c>
      <c r="W47" s="8"/>
      <c r="X47" s="9"/>
      <c r="Y47" s="8">
        <f t="shared" si="26"/>
        <v>4014005</v>
      </c>
    </row>
    <row r="48" spans="1:27" ht="21" customHeight="1" x14ac:dyDescent="0.25">
      <c r="A48" s="102" t="s">
        <v>144</v>
      </c>
      <c r="B48" s="14">
        <v>1</v>
      </c>
      <c r="C48" s="11" t="s">
        <v>145</v>
      </c>
      <c r="D48" s="6"/>
      <c r="E48" s="5">
        <v>737717</v>
      </c>
      <c r="F48" s="12">
        <v>30</v>
      </c>
      <c r="G48" s="5">
        <f t="shared" si="6"/>
        <v>737717</v>
      </c>
      <c r="H48" s="5"/>
      <c r="I48" s="5"/>
      <c r="J48" s="5"/>
      <c r="K48" s="5"/>
      <c r="L48" s="5">
        <f t="shared" ref="L48:L77" si="42">SUM(G48:J48)+K48</f>
        <v>737717</v>
      </c>
      <c r="M48" s="5"/>
      <c r="N48" s="5"/>
      <c r="O48" s="5"/>
      <c r="P48" s="5"/>
      <c r="Q48" s="5"/>
      <c r="R48" s="5"/>
      <c r="S48" s="5"/>
      <c r="T48" s="5"/>
      <c r="U48" s="5"/>
      <c r="V48" s="7">
        <f t="shared" si="41"/>
        <v>737717</v>
      </c>
      <c r="W48" s="8"/>
      <c r="X48" s="9"/>
      <c r="Y48" s="8">
        <f t="shared" si="26"/>
        <v>737717</v>
      </c>
    </row>
    <row r="49" spans="1:25" ht="20.25" customHeight="1" x14ac:dyDescent="0.25">
      <c r="A49" s="103"/>
      <c r="B49" s="14">
        <v>2</v>
      </c>
      <c r="C49" s="11" t="s">
        <v>73</v>
      </c>
      <c r="D49" s="6" t="s">
        <v>27</v>
      </c>
      <c r="E49" s="5">
        <v>3000000</v>
      </c>
      <c r="F49" s="12">
        <v>23</v>
      </c>
      <c r="G49" s="5">
        <f t="shared" si="6"/>
        <v>2300000</v>
      </c>
      <c r="H49" s="5"/>
      <c r="I49" s="5"/>
      <c r="J49" s="5"/>
      <c r="K49" s="5">
        <f>+E49-G49</f>
        <v>700000</v>
      </c>
      <c r="L49" s="5">
        <f t="shared" si="42"/>
        <v>3000000</v>
      </c>
      <c r="M49" s="5">
        <v>120000</v>
      </c>
      <c r="N49" s="5">
        <v>150000</v>
      </c>
      <c r="O49" s="5"/>
      <c r="P49" s="5"/>
      <c r="Q49" s="5"/>
      <c r="R49" s="5"/>
      <c r="S49" s="5"/>
      <c r="T49" s="84">
        <f>481778</f>
        <v>481778</v>
      </c>
      <c r="U49" s="5">
        <f t="shared" ref="U49" si="43">SUM(M49:T49)</f>
        <v>751778</v>
      </c>
      <c r="V49" s="7">
        <f t="shared" si="41"/>
        <v>2248222</v>
      </c>
      <c r="W49" s="8"/>
      <c r="X49" s="9"/>
      <c r="Y49" s="8">
        <f t="shared" si="26"/>
        <v>2248222</v>
      </c>
    </row>
    <row r="50" spans="1:25" x14ac:dyDescent="0.25">
      <c r="A50" s="103"/>
      <c r="B50" s="14">
        <v>3</v>
      </c>
      <c r="C50" s="3" t="s">
        <v>76</v>
      </c>
      <c r="D50" s="4" t="s">
        <v>27</v>
      </c>
      <c r="E50" s="5">
        <v>2500000</v>
      </c>
      <c r="F50" s="12">
        <v>30</v>
      </c>
      <c r="G50" s="5">
        <f>+E50</f>
        <v>2500000</v>
      </c>
      <c r="H50" s="5"/>
      <c r="I50" s="5">
        <v>312500</v>
      </c>
      <c r="J50" s="5"/>
      <c r="K50" s="5"/>
      <c r="L50" s="5">
        <f>SUM(G50:J50)+K50</f>
        <v>2812500</v>
      </c>
      <c r="M50" s="5">
        <f>+E50*4%</f>
        <v>100000</v>
      </c>
      <c r="N50" s="5">
        <f>+E50*4%</f>
        <v>100000</v>
      </c>
      <c r="O50" s="5"/>
      <c r="P50" s="5"/>
      <c r="Q50" s="5"/>
      <c r="R50" s="5"/>
      <c r="S50" s="5"/>
      <c r="T50" s="5"/>
      <c r="U50" s="5">
        <f>SUM(M50:T50)</f>
        <v>200000</v>
      </c>
      <c r="V50" s="7">
        <f>L50-U50</f>
        <v>2612500</v>
      </c>
      <c r="W50" s="8"/>
      <c r="X50" s="9"/>
      <c r="Y50" s="8">
        <f t="shared" si="26"/>
        <v>2612500</v>
      </c>
    </row>
    <row r="51" spans="1:25" ht="18" customHeight="1" x14ac:dyDescent="0.25">
      <c r="A51" s="103"/>
      <c r="B51" s="14">
        <v>4</v>
      </c>
      <c r="C51" s="11" t="s">
        <v>77</v>
      </c>
      <c r="D51" s="6" t="s">
        <v>27</v>
      </c>
      <c r="E51" s="5">
        <v>3000000</v>
      </c>
      <c r="F51" s="12">
        <v>30</v>
      </c>
      <c r="G51" s="5">
        <f t="shared" si="6"/>
        <v>3000000</v>
      </c>
      <c r="H51" s="5">
        <v>0</v>
      </c>
      <c r="I51" s="5"/>
      <c r="J51" s="5"/>
      <c r="K51" s="5"/>
      <c r="L51" s="5">
        <f>SUM(G51:J51)+K51</f>
        <v>3000000</v>
      </c>
      <c r="M51" s="5">
        <f>+E51*4%</f>
        <v>120000</v>
      </c>
      <c r="N51" s="5">
        <f>+E51*5%</f>
        <v>150000</v>
      </c>
      <c r="O51" s="5"/>
      <c r="P51" s="5"/>
      <c r="Q51" s="17"/>
      <c r="R51" s="5"/>
      <c r="S51" s="5"/>
      <c r="T51" s="84"/>
      <c r="U51" s="5">
        <f>+M51+N51+T51</f>
        <v>270000</v>
      </c>
      <c r="V51" s="7">
        <f>+L51-U51</f>
        <v>2730000</v>
      </c>
      <c r="W51" s="8"/>
      <c r="X51" s="9"/>
      <c r="Y51" s="8">
        <f t="shared" si="26"/>
        <v>2730000</v>
      </c>
    </row>
    <row r="52" spans="1:25" ht="24" x14ac:dyDescent="0.25">
      <c r="A52" s="103"/>
      <c r="B52" s="14">
        <v>5</v>
      </c>
      <c r="C52" s="11" t="s">
        <v>81</v>
      </c>
      <c r="D52" s="6" t="s">
        <v>27</v>
      </c>
      <c r="E52" s="5">
        <v>1500000</v>
      </c>
      <c r="F52" s="12">
        <v>29</v>
      </c>
      <c r="G52" s="5">
        <f t="shared" si="6"/>
        <v>1450000</v>
      </c>
      <c r="H52" s="5"/>
      <c r="I52" s="5"/>
      <c r="J52" s="5"/>
      <c r="K52" s="5">
        <f>+E52-G52</f>
        <v>50000</v>
      </c>
      <c r="L52" s="5">
        <f t="shared" ref="L52" si="44">SUM(G52:J52)+K52</f>
        <v>1500000</v>
      </c>
      <c r="M52" s="5">
        <f>+E52*4%</f>
        <v>60000</v>
      </c>
      <c r="N52" s="5">
        <f>+E52*4%</f>
        <v>60000</v>
      </c>
      <c r="O52" s="5"/>
      <c r="P52" s="5"/>
      <c r="Q52" s="17"/>
      <c r="R52" s="5"/>
      <c r="S52" s="5"/>
      <c r="T52" s="5"/>
      <c r="U52" s="5">
        <f t="shared" ref="U52" si="45">SUM(M52:T52)</f>
        <v>120000</v>
      </c>
      <c r="V52" s="7">
        <f t="shared" ref="V52:V60" si="46">+L52-U52</f>
        <v>1380000</v>
      </c>
      <c r="W52" s="8"/>
      <c r="X52" s="9"/>
      <c r="Y52" s="8">
        <f t="shared" si="26"/>
        <v>1380000</v>
      </c>
    </row>
    <row r="53" spans="1:25" ht="21.75" customHeight="1" x14ac:dyDescent="0.25">
      <c r="A53" s="103"/>
      <c r="B53" s="14">
        <v>6</v>
      </c>
      <c r="C53" s="11" t="s">
        <v>82</v>
      </c>
      <c r="D53" s="6" t="s">
        <v>27</v>
      </c>
      <c r="E53" s="5">
        <v>1800000</v>
      </c>
      <c r="F53" s="12">
        <v>23</v>
      </c>
      <c r="G53" s="5">
        <f t="shared" si="6"/>
        <v>1380000</v>
      </c>
      <c r="H53" s="5">
        <v>0</v>
      </c>
      <c r="I53" s="5"/>
      <c r="J53" s="5"/>
      <c r="K53" s="5">
        <f>+E53-G53</f>
        <v>420000</v>
      </c>
      <c r="L53" s="5">
        <f t="shared" si="42"/>
        <v>1800000</v>
      </c>
      <c r="M53" s="5">
        <f>+E53*4%</f>
        <v>72000</v>
      </c>
      <c r="N53" s="5">
        <f>+E53*4%</f>
        <v>72000</v>
      </c>
      <c r="O53" s="5"/>
      <c r="P53" s="5"/>
      <c r="Q53" s="5">
        <v>0</v>
      </c>
      <c r="R53" s="5"/>
      <c r="S53" s="5"/>
      <c r="T53" s="5"/>
      <c r="U53" s="5">
        <f t="shared" ref="U53:U108" si="47">SUM(M53:T53)</f>
        <v>144000</v>
      </c>
      <c r="V53" s="7">
        <f t="shared" si="46"/>
        <v>1656000</v>
      </c>
      <c r="W53" s="8"/>
      <c r="X53" s="9"/>
      <c r="Y53" s="8">
        <f t="shared" si="26"/>
        <v>1656000</v>
      </c>
    </row>
    <row r="54" spans="1:25" ht="21.75" customHeight="1" x14ac:dyDescent="0.25">
      <c r="A54" s="103"/>
      <c r="B54" s="14">
        <v>7</v>
      </c>
      <c r="C54" s="11" t="s">
        <v>83</v>
      </c>
      <c r="D54" s="6" t="s">
        <v>27</v>
      </c>
      <c r="E54" s="5">
        <v>737717</v>
      </c>
      <c r="F54" s="12">
        <v>30</v>
      </c>
      <c r="G54" s="5">
        <f t="shared" si="6"/>
        <v>737717</v>
      </c>
      <c r="H54" s="5">
        <v>83140</v>
      </c>
      <c r="I54" s="5"/>
      <c r="J54" s="5"/>
      <c r="K54" s="5"/>
      <c r="L54" s="5">
        <f t="shared" ref="L54" si="48">SUM(G54:J54)+K54</f>
        <v>820857</v>
      </c>
      <c r="M54" s="5">
        <v>29509</v>
      </c>
      <c r="N54" s="5">
        <v>29509</v>
      </c>
      <c r="O54" s="5"/>
      <c r="P54" s="5"/>
      <c r="Q54" s="17"/>
      <c r="R54" s="5"/>
      <c r="S54" s="5"/>
      <c r="T54" s="5"/>
      <c r="U54" s="5">
        <f t="shared" si="47"/>
        <v>59018</v>
      </c>
      <c r="V54" s="7">
        <f t="shared" si="46"/>
        <v>761839</v>
      </c>
      <c r="W54" s="8"/>
      <c r="X54" s="9"/>
      <c r="Y54" s="8">
        <f t="shared" si="26"/>
        <v>761839</v>
      </c>
    </row>
    <row r="55" spans="1:25" ht="21" customHeight="1" x14ac:dyDescent="0.25">
      <c r="A55" s="103"/>
      <c r="B55" s="14">
        <v>8</v>
      </c>
      <c r="C55" s="11" t="s">
        <v>183</v>
      </c>
      <c r="D55" s="6"/>
      <c r="E55" s="5">
        <v>3000000</v>
      </c>
      <c r="F55" s="12">
        <v>30</v>
      </c>
      <c r="G55" s="5">
        <f>+E55/30*F55</f>
        <v>3000000</v>
      </c>
      <c r="H55" s="5"/>
      <c r="I55" s="5"/>
      <c r="J55" s="5"/>
      <c r="K55" s="5"/>
      <c r="L55" s="5">
        <f>SUM(G55:J55)+K55</f>
        <v>3000000</v>
      </c>
      <c r="M55" s="5">
        <f>+G55*4%</f>
        <v>120000</v>
      </c>
      <c r="N55" s="5">
        <f>+G55*4%</f>
        <v>120000</v>
      </c>
      <c r="O55" s="5"/>
      <c r="P55" s="5"/>
      <c r="Q55" s="5"/>
      <c r="R55" s="5"/>
      <c r="S55" s="5"/>
      <c r="T55" s="5"/>
      <c r="U55" s="5">
        <f>SUM(M55:T55)</f>
        <v>240000</v>
      </c>
      <c r="V55" s="7">
        <f>+L55-U55</f>
        <v>2760000</v>
      </c>
      <c r="W55" s="8"/>
      <c r="X55" s="9"/>
      <c r="Y55" s="8">
        <f t="shared" si="26"/>
        <v>2760000</v>
      </c>
    </row>
    <row r="56" spans="1:25" ht="17.25" customHeight="1" x14ac:dyDescent="0.25">
      <c r="A56" s="103"/>
      <c r="B56" s="14">
        <v>9</v>
      </c>
      <c r="C56" s="11" t="s">
        <v>84</v>
      </c>
      <c r="D56" s="6" t="s">
        <v>27</v>
      </c>
      <c r="E56" s="5">
        <v>3500000</v>
      </c>
      <c r="F56" s="12">
        <v>30</v>
      </c>
      <c r="G56" s="5">
        <f>+E56-K56</f>
        <v>3500000</v>
      </c>
      <c r="H56" s="5"/>
      <c r="I56" s="5"/>
      <c r="J56" s="5"/>
      <c r="K56" s="5"/>
      <c r="L56" s="5">
        <f t="shared" ref="L56" si="49">SUM(G56:J56)+K56</f>
        <v>3500000</v>
      </c>
      <c r="M56" s="5">
        <f>+E56*4%</f>
        <v>140000</v>
      </c>
      <c r="N56" s="5">
        <f>+E56*5%</f>
        <v>175000</v>
      </c>
      <c r="O56" s="5"/>
      <c r="P56" s="5"/>
      <c r="Q56" s="5">
        <v>0</v>
      </c>
      <c r="R56" s="5"/>
      <c r="S56" s="5"/>
      <c r="T56" s="5">
        <v>774624</v>
      </c>
      <c r="U56" s="5">
        <f t="shared" ref="U56" si="50">SUM(M56:T56)</f>
        <v>1089624</v>
      </c>
      <c r="V56" s="7">
        <f t="shared" si="46"/>
        <v>2410376</v>
      </c>
      <c r="W56" s="8"/>
      <c r="X56" s="9"/>
      <c r="Y56" s="8">
        <f t="shared" si="26"/>
        <v>2410376</v>
      </c>
    </row>
    <row r="57" spans="1:25" ht="17.25" customHeight="1" x14ac:dyDescent="0.25">
      <c r="A57" s="103"/>
      <c r="B57" s="14">
        <v>10</v>
      </c>
      <c r="C57" s="11" t="s">
        <v>85</v>
      </c>
      <c r="D57" s="6" t="s">
        <v>27</v>
      </c>
      <c r="E57" s="5">
        <v>2500000</v>
      </c>
      <c r="F57" s="12">
        <v>23</v>
      </c>
      <c r="G57" s="5">
        <f t="shared" si="6"/>
        <v>1916666.6666666665</v>
      </c>
      <c r="H57" s="5"/>
      <c r="I57" s="5"/>
      <c r="J57" s="5">
        <v>700000</v>
      </c>
      <c r="K57" s="5">
        <f>+E57-G57</f>
        <v>583333.33333333349</v>
      </c>
      <c r="L57" s="5">
        <f>SUM(G57:J57)+K57</f>
        <v>3200000</v>
      </c>
      <c r="M57" s="5">
        <f>+G57*4%</f>
        <v>76666.666666666657</v>
      </c>
      <c r="N57" s="5">
        <f>+G57*4%</f>
        <v>76666.666666666657</v>
      </c>
      <c r="O57" s="5"/>
      <c r="P57" s="5"/>
      <c r="Q57" s="5">
        <v>0</v>
      </c>
      <c r="R57" s="5"/>
      <c r="S57" s="5"/>
      <c r="T57" s="5">
        <v>200210</v>
      </c>
      <c r="U57" s="5">
        <f t="shared" si="47"/>
        <v>353543.33333333331</v>
      </c>
      <c r="V57" s="7">
        <f t="shared" si="46"/>
        <v>2846456.6666666665</v>
      </c>
      <c r="W57" s="8"/>
      <c r="X57" s="9"/>
      <c r="Y57" s="8">
        <f t="shared" si="26"/>
        <v>2846456.6666666665</v>
      </c>
    </row>
    <row r="58" spans="1:25" ht="17.25" customHeight="1" x14ac:dyDescent="0.25">
      <c r="A58" s="103"/>
      <c r="B58" s="14">
        <v>11</v>
      </c>
      <c r="C58" s="11" t="s">
        <v>87</v>
      </c>
      <c r="D58" s="6" t="s">
        <v>27</v>
      </c>
      <c r="E58" s="5">
        <v>1500000</v>
      </c>
      <c r="F58" s="12">
        <v>23</v>
      </c>
      <c r="G58" s="5">
        <f>E58/30*F58</f>
        <v>1150000</v>
      </c>
      <c r="H58" s="5"/>
      <c r="I58" s="5"/>
      <c r="J58" s="5"/>
      <c r="K58" s="5">
        <f>+E58-G58</f>
        <v>350000</v>
      </c>
      <c r="L58" s="5">
        <f t="shared" ref="L58:L59" si="51">SUM(G58:J58)+K58</f>
        <v>1500000</v>
      </c>
      <c r="M58" s="5">
        <f>+E58*4%</f>
        <v>60000</v>
      </c>
      <c r="N58" s="5">
        <f>+E58*4%</f>
        <v>60000</v>
      </c>
      <c r="O58" s="5">
        <v>0</v>
      </c>
      <c r="P58" s="5"/>
      <c r="Q58" s="5">
        <v>0</v>
      </c>
      <c r="R58" s="5"/>
      <c r="S58" s="5"/>
      <c r="T58" s="5">
        <v>422966</v>
      </c>
      <c r="U58" s="5">
        <f t="shared" ref="U58" si="52">SUM(M58:T58)</f>
        <v>542966</v>
      </c>
      <c r="V58" s="7">
        <f t="shared" si="46"/>
        <v>957034</v>
      </c>
      <c r="W58" s="8"/>
      <c r="X58" s="9"/>
      <c r="Y58" s="8">
        <f t="shared" si="26"/>
        <v>957034</v>
      </c>
    </row>
    <row r="59" spans="1:25" ht="17.25" customHeight="1" x14ac:dyDescent="0.25">
      <c r="A59" s="103"/>
      <c r="B59" s="14">
        <v>12</v>
      </c>
      <c r="C59" s="11" t="s">
        <v>175</v>
      </c>
      <c r="D59" s="6" t="s">
        <v>27</v>
      </c>
      <c r="E59" s="5">
        <v>737717</v>
      </c>
      <c r="F59" s="12">
        <v>23</v>
      </c>
      <c r="G59" s="5">
        <f>E59/30*F59</f>
        <v>565583.03333333333</v>
      </c>
      <c r="H59" s="5">
        <v>83140</v>
      </c>
      <c r="I59" s="5"/>
      <c r="J59" s="5"/>
      <c r="K59" s="5">
        <f>+E59-G59</f>
        <v>172133.96666666667</v>
      </c>
      <c r="L59" s="5">
        <f t="shared" si="51"/>
        <v>820857</v>
      </c>
      <c r="M59" s="5">
        <f>+E59*4%</f>
        <v>29508.68</v>
      </c>
      <c r="N59" s="5">
        <f>+E59*4%</f>
        <v>29508.68</v>
      </c>
      <c r="O59" s="5"/>
      <c r="P59" s="5"/>
      <c r="Q59" s="5">
        <v>0</v>
      </c>
      <c r="R59" s="5"/>
      <c r="S59" s="5"/>
      <c r="T59" s="5"/>
      <c r="U59" s="5">
        <v>59018</v>
      </c>
      <c r="V59" s="7">
        <f t="shared" si="46"/>
        <v>761839</v>
      </c>
      <c r="W59" s="8"/>
      <c r="X59" s="9"/>
      <c r="Y59" s="8">
        <f t="shared" si="26"/>
        <v>761839</v>
      </c>
    </row>
    <row r="60" spans="1:25" ht="24" x14ac:dyDescent="0.25">
      <c r="A60" s="103"/>
      <c r="B60" s="14">
        <v>13</v>
      </c>
      <c r="C60" s="11" t="s">
        <v>88</v>
      </c>
      <c r="D60" s="6" t="s">
        <v>27</v>
      </c>
      <c r="E60" s="5">
        <v>3000000</v>
      </c>
      <c r="F60" s="12">
        <v>29</v>
      </c>
      <c r="G60" s="5">
        <f>E60/30*F60</f>
        <v>2900000</v>
      </c>
      <c r="H60" s="5">
        <v>66670</v>
      </c>
      <c r="I60" s="5"/>
      <c r="J60" s="5">
        <v>200000</v>
      </c>
      <c r="K60" s="5"/>
      <c r="L60" s="5">
        <f t="shared" si="42"/>
        <v>3166670</v>
      </c>
      <c r="M60" s="5">
        <f>+E60*4%</f>
        <v>120000</v>
      </c>
      <c r="N60" s="5">
        <f>+E60*0.05</f>
        <v>150000</v>
      </c>
      <c r="O60" s="5"/>
      <c r="P60" s="5"/>
      <c r="Q60" s="5">
        <v>0</v>
      </c>
      <c r="R60" s="5"/>
      <c r="S60" s="5"/>
      <c r="T60" s="5">
        <v>323803</v>
      </c>
      <c r="U60" s="5">
        <f t="shared" si="47"/>
        <v>593803</v>
      </c>
      <c r="V60" s="7">
        <f t="shared" si="46"/>
        <v>2572867</v>
      </c>
      <c r="W60" s="8"/>
      <c r="X60" s="9"/>
      <c r="Y60" s="8">
        <f t="shared" si="26"/>
        <v>2572867</v>
      </c>
    </row>
    <row r="61" spans="1:25" ht="18.75" customHeight="1" x14ac:dyDescent="0.25">
      <c r="A61" s="103"/>
      <c r="B61" s="14">
        <v>14</v>
      </c>
      <c r="C61" s="11" t="s">
        <v>189</v>
      </c>
      <c r="D61" s="6"/>
      <c r="E61" s="5">
        <v>2000000</v>
      </c>
      <c r="F61" s="12">
        <v>30</v>
      </c>
      <c r="G61" s="5">
        <f>+E61</f>
        <v>2000000</v>
      </c>
      <c r="H61" s="5"/>
      <c r="I61" s="5"/>
      <c r="J61" s="5"/>
      <c r="K61" s="5"/>
      <c r="L61" s="5">
        <f t="shared" si="42"/>
        <v>2000000</v>
      </c>
      <c r="M61" s="5">
        <f>+G61*4%</f>
        <v>80000</v>
      </c>
      <c r="N61" s="5">
        <f>+G61*4%</f>
        <v>80000</v>
      </c>
      <c r="O61" s="5"/>
      <c r="P61" s="5"/>
      <c r="Q61" s="5">
        <v>0</v>
      </c>
      <c r="R61" s="5"/>
      <c r="S61" s="5"/>
      <c r="T61" s="5"/>
      <c r="U61" s="5">
        <f>SUM(M61:T61)</f>
        <v>160000</v>
      </c>
      <c r="V61" s="7">
        <f>+L61-U61</f>
        <v>1840000</v>
      </c>
      <c r="W61" s="8"/>
      <c r="X61" s="9"/>
      <c r="Y61" s="8">
        <f t="shared" si="26"/>
        <v>1840000</v>
      </c>
    </row>
    <row r="62" spans="1:25" x14ac:dyDescent="0.25">
      <c r="A62" s="103"/>
      <c r="B62" s="14">
        <v>15</v>
      </c>
      <c r="C62" s="3" t="s">
        <v>89</v>
      </c>
      <c r="D62" s="4" t="s">
        <v>27</v>
      </c>
      <c r="E62" s="5">
        <v>3500000</v>
      </c>
      <c r="F62" s="12">
        <v>30</v>
      </c>
      <c r="G62" s="5">
        <f>E62/30*F62</f>
        <v>3500000</v>
      </c>
      <c r="H62" s="5"/>
      <c r="I62" s="5"/>
      <c r="J62" s="5"/>
      <c r="K62" s="5"/>
      <c r="L62" s="5">
        <f t="shared" si="42"/>
        <v>3500000</v>
      </c>
      <c r="M62" s="5">
        <f>+L62*4%</f>
        <v>140000</v>
      </c>
      <c r="N62" s="5">
        <f>+L62*5%</f>
        <v>175000</v>
      </c>
      <c r="O62" s="5"/>
      <c r="P62" s="5"/>
      <c r="Q62" s="5">
        <v>0</v>
      </c>
      <c r="R62" s="5"/>
      <c r="S62" s="5"/>
      <c r="T62" s="5"/>
      <c r="U62" s="5">
        <f t="shared" si="47"/>
        <v>315000</v>
      </c>
      <c r="V62" s="7">
        <f t="shared" ref="V62:V72" si="53">L62-U62</f>
        <v>3185000</v>
      </c>
      <c r="W62" s="8"/>
      <c r="X62" s="9"/>
      <c r="Y62" s="8">
        <f t="shared" si="26"/>
        <v>3185000</v>
      </c>
    </row>
    <row r="63" spans="1:25" s="83" customFormat="1" x14ac:dyDescent="0.25">
      <c r="A63" s="103"/>
      <c r="B63" s="76">
        <v>16</v>
      </c>
      <c r="C63" s="77" t="s">
        <v>90</v>
      </c>
      <c r="D63" s="78" t="s">
        <v>27</v>
      </c>
      <c r="E63" s="19">
        <v>4000000</v>
      </c>
      <c r="F63" s="79">
        <v>30</v>
      </c>
      <c r="G63" s="19">
        <f t="shared" ref="G63:G109" si="54">E63/30*F63</f>
        <v>4000000.0000000005</v>
      </c>
      <c r="H63" s="19"/>
      <c r="I63" s="19">
        <v>2062417</v>
      </c>
      <c r="J63" s="19">
        <v>300000</v>
      </c>
      <c r="K63" s="19"/>
      <c r="L63" s="19">
        <f>SUM(G63:J63)+K63</f>
        <v>6362417</v>
      </c>
      <c r="M63" s="19">
        <f>6062417*4%</f>
        <v>242496.68</v>
      </c>
      <c r="N63" s="19">
        <f>+(G63+I63)*5%</f>
        <v>303120.85000000003</v>
      </c>
      <c r="O63" s="19"/>
      <c r="P63" s="19"/>
      <c r="Q63" s="19">
        <v>3000</v>
      </c>
      <c r="R63" s="19"/>
      <c r="S63" s="19"/>
      <c r="T63" s="19">
        <v>879143</v>
      </c>
      <c r="U63" s="19">
        <f t="shared" si="47"/>
        <v>1427760.53</v>
      </c>
      <c r="V63" s="80">
        <f t="shared" si="53"/>
        <v>4934656.47</v>
      </c>
      <c r="W63" s="81"/>
      <c r="X63" s="82"/>
      <c r="Y63" s="81">
        <f t="shared" si="26"/>
        <v>4934656.47</v>
      </c>
    </row>
    <row r="64" spans="1:25" x14ac:dyDescent="0.25">
      <c r="A64" s="103"/>
      <c r="B64" s="14">
        <v>17</v>
      </c>
      <c r="C64" s="11" t="s">
        <v>91</v>
      </c>
      <c r="D64" s="6" t="s">
        <v>27</v>
      </c>
      <c r="E64" s="5">
        <v>800000</v>
      </c>
      <c r="F64" s="12">
        <v>30</v>
      </c>
      <c r="G64" s="5">
        <f t="shared" si="54"/>
        <v>800000</v>
      </c>
      <c r="H64" s="5">
        <f>+(83140/30)*F64</f>
        <v>83140</v>
      </c>
      <c r="I64" s="5"/>
      <c r="J64" s="5"/>
      <c r="K64" s="5"/>
      <c r="L64" s="5">
        <f t="shared" si="42"/>
        <v>883140</v>
      </c>
      <c r="M64" s="5">
        <f>+G64*4%</f>
        <v>32000</v>
      </c>
      <c r="N64" s="5">
        <f>+G64*4%</f>
        <v>32000</v>
      </c>
      <c r="O64" s="5"/>
      <c r="P64" s="5"/>
      <c r="Q64" s="5"/>
      <c r="R64" s="5"/>
      <c r="S64" s="5"/>
      <c r="T64" s="5"/>
      <c r="U64" s="5">
        <f t="shared" si="47"/>
        <v>64000</v>
      </c>
      <c r="V64" s="7">
        <f t="shared" si="53"/>
        <v>819140</v>
      </c>
      <c r="W64" s="8"/>
      <c r="X64" s="9"/>
      <c r="Y64" s="8">
        <f t="shared" si="26"/>
        <v>819140</v>
      </c>
    </row>
    <row r="65" spans="1:28" ht="17.25" customHeight="1" x14ac:dyDescent="0.25">
      <c r="A65" s="103"/>
      <c r="B65" s="14">
        <v>18</v>
      </c>
      <c r="C65" s="11" t="s">
        <v>92</v>
      </c>
      <c r="D65" s="6" t="s">
        <v>27</v>
      </c>
      <c r="E65" s="5">
        <v>4200000</v>
      </c>
      <c r="F65" s="12">
        <v>18</v>
      </c>
      <c r="G65" s="5">
        <f>+E65-K65-140000</f>
        <v>2258889</v>
      </c>
      <c r="H65" s="5">
        <v>93338</v>
      </c>
      <c r="I65" s="5"/>
      <c r="J65" s="5"/>
      <c r="K65" s="5">
        <v>1801111</v>
      </c>
      <c r="L65" s="5">
        <f t="shared" si="42"/>
        <v>4153338</v>
      </c>
      <c r="M65" s="5">
        <f>+E65*0.04</f>
        <v>168000</v>
      </c>
      <c r="N65" s="5">
        <f>+E65*0.05</f>
        <v>210000</v>
      </c>
      <c r="O65" s="5"/>
      <c r="P65" s="5"/>
      <c r="Q65" s="5">
        <v>0</v>
      </c>
      <c r="R65" s="5"/>
      <c r="S65" s="5"/>
      <c r="T65" s="5"/>
      <c r="U65" s="5">
        <f>SUM(M65:T65)</f>
        <v>378000</v>
      </c>
      <c r="V65" s="7">
        <f>L65-U65</f>
        <v>3775338</v>
      </c>
      <c r="W65" s="8"/>
      <c r="X65" s="9"/>
      <c r="Y65" s="8">
        <f t="shared" si="26"/>
        <v>3775338</v>
      </c>
    </row>
    <row r="66" spans="1:28" ht="17.25" customHeight="1" x14ac:dyDescent="0.25">
      <c r="A66" s="103"/>
      <c r="B66" s="14">
        <v>19</v>
      </c>
      <c r="C66" s="11" t="s">
        <v>93</v>
      </c>
      <c r="D66" s="6" t="s">
        <v>27</v>
      </c>
      <c r="E66" s="5">
        <v>1550000</v>
      </c>
      <c r="F66" s="12">
        <v>23</v>
      </c>
      <c r="G66" s="5">
        <f t="shared" si="54"/>
        <v>1188333.3333333333</v>
      </c>
      <c r="H66" s="5"/>
      <c r="I66" s="5"/>
      <c r="J66" s="5"/>
      <c r="K66" s="5">
        <f>+E66-G66</f>
        <v>361666.66666666674</v>
      </c>
      <c r="L66" s="5">
        <f t="shared" ref="L66:L68" si="55">SUM(G66:J66)+K66</f>
        <v>1550000</v>
      </c>
      <c r="M66" s="5">
        <f>+E66*4%</f>
        <v>62000</v>
      </c>
      <c r="N66" s="5">
        <f>+E66*4%</f>
        <v>62000</v>
      </c>
      <c r="O66" s="5"/>
      <c r="P66" s="5"/>
      <c r="Q66" s="5"/>
      <c r="R66" s="5"/>
      <c r="S66" s="5"/>
      <c r="T66" s="5"/>
      <c r="U66" s="5">
        <f t="shared" ref="U66:U68" si="56">SUM(M66:T66)</f>
        <v>124000</v>
      </c>
      <c r="V66" s="7">
        <f t="shared" si="53"/>
        <v>1426000</v>
      </c>
      <c r="W66" s="8"/>
      <c r="X66" s="9"/>
      <c r="Y66" s="8">
        <f t="shared" si="26"/>
        <v>1426000</v>
      </c>
    </row>
    <row r="67" spans="1:28" ht="17.25" customHeight="1" x14ac:dyDescent="0.25">
      <c r="A67" s="103"/>
      <c r="B67" s="14">
        <v>20</v>
      </c>
      <c r="C67" s="11" t="s">
        <v>94</v>
      </c>
      <c r="D67" s="6"/>
      <c r="E67" s="5">
        <v>1200000</v>
      </c>
      <c r="F67" s="12">
        <v>30</v>
      </c>
      <c r="G67" s="5">
        <f t="shared" si="54"/>
        <v>1200000</v>
      </c>
      <c r="H67" s="5">
        <f>+(83140/30)*F67</f>
        <v>83140</v>
      </c>
      <c r="I67" s="5"/>
      <c r="J67" s="5"/>
      <c r="K67" s="5">
        <f t="shared" ref="K67:K68" si="57">+E67-G67</f>
        <v>0</v>
      </c>
      <c r="L67" s="5">
        <f t="shared" ref="L67" si="58">SUM(G67:J67)+K67</f>
        <v>1283140</v>
      </c>
      <c r="M67" s="5">
        <f>+G67*4%</f>
        <v>48000</v>
      </c>
      <c r="N67" s="5">
        <f>+G67*4%</f>
        <v>48000</v>
      </c>
      <c r="O67" s="5"/>
      <c r="P67" s="5"/>
      <c r="Q67" s="5"/>
      <c r="R67" s="5"/>
      <c r="S67" s="5"/>
      <c r="T67" s="5"/>
      <c r="U67" s="5">
        <f t="shared" ref="U67" si="59">SUM(M67:T67)</f>
        <v>96000</v>
      </c>
      <c r="V67" s="7">
        <f t="shared" si="53"/>
        <v>1187140</v>
      </c>
      <c r="W67" s="8"/>
      <c r="X67" s="9"/>
      <c r="Y67" s="8">
        <f t="shared" si="26"/>
        <v>1187140</v>
      </c>
    </row>
    <row r="68" spans="1:28" ht="20.25" customHeight="1" x14ac:dyDescent="0.25">
      <c r="A68" s="103"/>
      <c r="B68" s="14">
        <v>21</v>
      </c>
      <c r="C68" s="11" t="s">
        <v>166</v>
      </c>
      <c r="D68" s="6" t="s">
        <v>27</v>
      </c>
      <c r="E68" s="5">
        <v>1500000</v>
      </c>
      <c r="F68" s="12">
        <v>23</v>
      </c>
      <c r="G68" s="5">
        <f t="shared" si="54"/>
        <v>1150000</v>
      </c>
      <c r="H68" s="5"/>
      <c r="I68" s="5"/>
      <c r="J68" s="5"/>
      <c r="K68" s="5">
        <f t="shared" si="57"/>
        <v>350000</v>
      </c>
      <c r="L68" s="5">
        <f t="shared" si="55"/>
        <v>1500000</v>
      </c>
      <c r="M68" s="5">
        <f>+E68*4%</f>
        <v>60000</v>
      </c>
      <c r="N68" s="5">
        <f>+E68*4%</f>
        <v>60000</v>
      </c>
      <c r="O68" s="5"/>
      <c r="P68" s="5"/>
      <c r="Q68" s="5"/>
      <c r="R68" s="5"/>
      <c r="S68" s="5"/>
      <c r="T68" s="5"/>
      <c r="U68" s="5">
        <f t="shared" si="56"/>
        <v>120000</v>
      </c>
      <c r="V68" s="7">
        <f>L68-U68</f>
        <v>1380000</v>
      </c>
      <c r="W68" s="8"/>
      <c r="X68" s="9"/>
      <c r="Y68" s="8">
        <f t="shared" si="26"/>
        <v>1380000</v>
      </c>
    </row>
    <row r="69" spans="1:28" ht="29.25" customHeight="1" x14ac:dyDescent="0.25">
      <c r="A69" s="103"/>
      <c r="B69" s="14">
        <v>22</v>
      </c>
      <c r="C69" s="11" t="s">
        <v>167</v>
      </c>
      <c r="D69" s="6" t="s">
        <v>27</v>
      </c>
      <c r="E69" s="5">
        <v>2500000</v>
      </c>
      <c r="F69" s="12">
        <v>24</v>
      </c>
      <c r="G69" s="5">
        <f t="shared" si="54"/>
        <v>2000000</v>
      </c>
      <c r="H69" s="5"/>
      <c r="I69" s="5"/>
      <c r="J69" s="5"/>
      <c r="K69" s="5">
        <f>+E69-G69</f>
        <v>500000</v>
      </c>
      <c r="L69" s="5">
        <f t="shared" si="42"/>
        <v>2500000</v>
      </c>
      <c r="M69" s="5">
        <f>+E69*4%</f>
        <v>100000</v>
      </c>
      <c r="N69" s="5">
        <f>+E69*4%</f>
        <v>100000</v>
      </c>
      <c r="O69" s="5"/>
      <c r="P69" s="5"/>
      <c r="Q69" s="5">
        <v>0</v>
      </c>
      <c r="R69" s="5"/>
      <c r="S69" s="5"/>
      <c r="T69" s="5"/>
      <c r="U69" s="5">
        <f>SUM(M69:T69)</f>
        <v>200000</v>
      </c>
      <c r="V69" s="7">
        <f>L69-U69</f>
        <v>2300000</v>
      </c>
      <c r="W69" s="8"/>
      <c r="X69" s="9"/>
      <c r="Y69" s="8">
        <f t="shared" si="26"/>
        <v>2300000</v>
      </c>
      <c r="AB69" s="10">
        <f>1196000+644000</f>
        <v>1840000</v>
      </c>
    </row>
    <row r="70" spans="1:28" ht="25.5" customHeight="1" x14ac:dyDescent="0.25">
      <c r="A70" s="103"/>
      <c r="B70" s="14">
        <v>23</v>
      </c>
      <c r="C70" s="11" t="s">
        <v>156</v>
      </c>
      <c r="D70" s="6"/>
      <c r="E70" s="5">
        <v>368858</v>
      </c>
      <c r="F70" s="12">
        <v>30</v>
      </c>
      <c r="G70" s="5">
        <f t="shared" si="54"/>
        <v>368858</v>
      </c>
      <c r="H70" s="5"/>
      <c r="I70" s="5"/>
      <c r="J70" s="5"/>
      <c r="K70" s="5"/>
      <c r="L70" s="5">
        <f t="shared" ref="L70" si="60">SUM(G70:J70)+K70</f>
        <v>368858</v>
      </c>
      <c r="M70" s="5"/>
      <c r="N70" s="5"/>
      <c r="O70" s="5"/>
      <c r="P70" s="5"/>
      <c r="Q70" s="5"/>
      <c r="R70" s="5"/>
      <c r="S70" s="5"/>
      <c r="T70" s="5"/>
      <c r="U70" s="5">
        <f t="shared" ref="U70" si="61">SUM(M70:T70)</f>
        <v>0</v>
      </c>
      <c r="V70" s="7">
        <f t="shared" ref="V70" si="62">L70-U70</f>
        <v>368858</v>
      </c>
      <c r="W70" s="8"/>
      <c r="X70" s="9"/>
      <c r="Y70" s="8">
        <f t="shared" si="26"/>
        <v>368858</v>
      </c>
    </row>
    <row r="71" spans="1:28" x14ac:dyDescent="0.25">
      <c r="A71" s="103"/>
      <c r="B71" s="14">
        <v>24</v>
      </c>
      <c r="C71" s="3" t="s">
        <v>101</v>
      </c>
      <c r="D71" s="4" t="s">
        <v>27</v>
      </c>
      <c r="E71" s="5">
        <v>800000</v>
      </c>
      <c r="F71" s="12">
        <v>30</v>
      </c>
      <c r="G71" s="5">
        <f t="shared" si="54"/>
        <v>800000</v>
      </c>
      <c r="H71" s="5">
        <f>+(83140/30)*F71</f>
        <v>83140</v>
      </c>
      <c r="I71" s="5"/>
      <c r="J71" s="5"/>
      <c r="K71" s="5"/>
      <c r="L71" s="5">
        <f t="shared" si="42"/>
        <v>883140</v>
      </c>
      <c r="M71" s="5">
        <f>+G71*4%</f>
        <v>32000</v>
      </c>
      <c r="N71" s="5">
        <f>+G71*4%</f>
        <v>32000</v>
      </c>
      <c r="O71" s="5"/>
      <c r="P71" s="5"/>
      <c r="Q71" s="5"/>
      <c r="R71" s="5"/>
      <c r="S71" s="5"/>
      <c r="T71" s="5"/>
      <c r="U71" s="5">
        <f t="shared" si="47"/>
        <v>64000</v>
      </c>
      <c r="V71" s="7">
        <f t="shared" si="53"/>
        <v>819140</v>
      </c>
      <c r="W71" s="8"/>
      <c r="X71" s="9"/>
      <c r="Y71" s="8">
        <f t="shared" si="26"/>
        <v>819140</v>
      </c>
      <c r="AB71" s="10">
        <f>1840000-1196000</f>
        <v>644000</v>
      </c>
    </row>
    <row r="72" spans="1:28" x14ac:dyDescent="0.25">
      <c r="A72" s="103"/>
      <c r="B72" s="14">
        <v>25</v>
      </c>
      <c r="C72" s="3" t="s">
        <v>176</v>
      </c>
      <c r="D72" s="4" t="s">
        <v>27</v>
      </c>
      <c r="E72" s="5">
        <v>1000000</v>
      </c>
      <c r="F72" s="12">
        <v>30</v>
      </c>
      <c r="G72" s="5">
        <f t="shared" si="54"/>
        <v>1000000.0000000001</v>
      </c>
      <c r="H72" s="5">
        <f>+(83140/30)*F72</f>
        <v>83140</v>
      </c>
      <c r="I72" s="5"/>
      <c r="J72" s="5"/>
      <c r="K72" s="5"/>
      <c r="L72" s="5">
        <f t="shared" ref="L72" si="63">SUM(G72:J72)+K72</f>
        <v>1083140</v>
      </c>
      <c r="M72" s="5">
        <f>+G72*4%</f>
        <v>40000.000000000007</v>
      </c>
      <c r="N72" s="5">
        <f>+G72*4%</f>
        <v>40000.000000000007</v>
      </c>
      <c r="O72" s="5"/>
      <c r="P72" s="5"/>
      <c r="Q72" s="5"/>
      <c r="R72" s="5"/>
      <c r="S72" s="5"/>
      <c r="T72" s="5"/>
      <c r="U72" s="5">
        <f t="shared" ref="U72" si="64">SUM(M72:T72)</f>
        <v>80000.000000000015</v>
      </c>
      <c r="V72" s="7">
        <f t="shared" si="53"/>
        <v>1003140</v>
      </c>
      <c r="W72" s="8"/>
      <c r="X72" s="9"/>
      <c r="Y72" s="8">
        <f t="shared" si="26"/>
        <v>1003140</v>
      </c>
      <c r="AB72" s="10">
        <f>1840000-1196000</f>
        <v>644000</v>
      </c>
    </row>
    <row r="73" spans="1:28" ht="21" customHeight="1" x14ac:dyDescent="0.25">
      <c r="A73" s="103"/>
      <c r="B73" s="14">
        <v>26</v>
      </c>
      <c r="C73" s="11" t="s">
        <v>184</v>
      </c>
      <c r="D73" s="6"/>
      <c r="E73" s="5">
        <v>3500000</v>
      </c>
      <c r="F73" s="12">
        <v>30</v>
      </c>
      <c r="G73" s="5">
        <f>+E73/30*F73</f>
        <v>3500000</v>
      </c>
      <c r="H73" s="5"/>
      <c r="I73" s="5"/>
      <c r="J73" s="5"/>
      <c r="K73" s="5"/>
      <c r="L73" s="5">
        <f t="shared" ref="L73" si="65">SUM(G73:J73)+K73</f>
        <v>3500000</v>
      </c>
      <c r="M73" s="5">
        <f>+G73*4%</f>
        <v>140000</v>
      </c>
      <c r="N73" s="5">
        <f>+G73*5%</f>
        <v>175000</v>
      </c>
      <c r="O73" s="5"/>
      <c r="P73" s="5"/>
      <c r="Q73" s="5"/>
      <c r="R73" s="5"/>
      <c r="S73" s="5"/>
      <c r="T73" s="5"/>
      <c r="U73" s="5">
        <f>SUM(M73:T73)</f>
        <v>315000</v>
      </c>
      <c r="V73" s="7">
        <f>+L73-U73</f>
        <v>3185000</v>
      </c>
      <c r="W73" s="8"/>
      <c r="X73" s="9"/>
      <c r="Y73" s="8">
        <f t="shared" si="26"/>
        <v>3185000</v>
      </c>
    </row>
    <row r="74" spans="1:28" x14ac:dyDescent="0.25">
      <c r="A74" s="103"/>
      <c r="B74" s="14">
        <v>27</v>
      </c>
      <c r="C74" s="11" t="s">
        <v>105</v>
      </c>
      <c r="D74" s="6" t="s">
        <v>27</v>
      </c>
      <c r="E74" s="5">
        <v>4000000</v>
      </c>
      <c r="F74" s="12">
        <v>30</v>
      </c>
      <c r="G74" s="5">
        <f>+E74-I74</f>
        <v>4000000</v>
      </c>
      <c r="H74" s="5"/>
      <c r="I74" s="5"/>
      <c r="J74" s="5"/>
      <c r="K74" s="18"/>
      <c r="L74" s="5">
        <f t="shared" ref="L74" si="66">SUM(G74:J74)+K74</f>
        <v>4000000</v>
      </c>
      <c r="M74" s="5">
        <f>+E74*0.04</f>
        <v>160000</v>
      </c>
      <c r="N74" s="5">
        <f>+E74*0.05</f>
        <v>200000</v>
      </c>
      <c r="O74" s="5"/>
      <c r="P74" s="5"/>
      <c r="Q74" s="5">
        <v>3000</v>
      </c>
      <c r="R74" s="5"/>
      <c r="S74" s="5"/>
      <c r="T74" s="5"/>
      <c r="U74" s="5">
        <f t="shared" ref="U74" si="67">SUM(M74:T74)</f>
        <v>363000</v>
      </c>
      <c r="V74" s="7">
        <f>+L74-U74</f>
        <v>3637000</v>
      </c>
      <c r="W74" s="8"/>
      <c r="X74" s="9"/>
      <c r="Y74" s="8">
        <f t="shared" si="26"/>
        <v>3637000</v>
      </c>
      <c r="Z74" s="10" t="s">
        <v>106</v>
      </c>
    </row>
    <row r="75" spans="1:28" ht="21" customHeight="1" x14ac:dyDescent="0.25">
      <c r="A75" s="103"/>
      <c r="B75" s="14">
        <v>28</v>
      </c>
      <c r="C75" s="3" t="s">
        <v>178</v>
      </c>
      <c r="D75" s="4"/>
      <c r="E75" s="5">
        <v>2400000</v>
      </c>
      <c r="F75" s="12">
        <v>23</v>
      </c>
      <c r="G75" s="5">
        <f t="shared" ref="G75:G76" si="68">E75/30*F75</f>
        <v>1840000</v>
      </c>
      <c r="H75" s="5"/>
      <c r="I75" s="5"/>
      <c r="J75" s="5"/>
      <c r="K75" s="5">
        <f>+E75-G75</f>
        <v>560000</v>
      </c>
      <c r="L75" s="5">
        <f t="shared" ref="L75" si="69">SUM(G75:J75)+K75</f>
        <v>2400000</v>
      </c>
      <c r="M75" s="5">
        <f>+G75*4%</f>
        <v>73600</v>
      </c>
      <c r="N75" s="5">
        <f>+G75*4%</f>
        <v>73600</v>
      </c>
      <c r="O75" s="5"/>
      <c r="P75" s="5"/>
      <c r="Q75" s="5"/>
      <c r="R75" s="5"/>
      <c r="S75" s="5"/>
      <c r="T75" s="5"/>
      <c r="U75" s="5">
        <f>SUM(M75:T75)</f>
        <v>147200</v>
      </c>
      <c r="V75" s="7">
        <f t="shared" ref="V75" si="70">L75-U75</f>
        <v>2252800</v>
      </c>
      <c r="W75" s="8"/>
      <c r="X75" s="9"/>
      <c r="Y75" s="8">
        <f t="shared" si="26"/>
        <v>2252800</v>
      </c>
    </row>
    <row r="76" spans="1:28" x14ac:dyDescent="0.25">
      <c r="A76" s="103"/>
      <c r="B76" s="14">
        <v>29</v>
      </c>
      <c r="C76" s="11" t="s">
        <v>107</v>
      </c>
      <c r="D76" s="6" t="s">
        <v>27</v>
      </c>
      <c r="E76" s="5">
        <v>2200000</v>
      </c>
      <c r="F76" s="12">
        <v>28</v>
      </c>
      <c r="G76" s="5">
        <f t="shared" si="68"/>
        <v>2053333.3333333333</v>
      </c>
      <c r="H76" s="5"/>
      <c r="I76" s="5"/>
      <c r="J76" s="5"/>
      <c r="K76" s="5">
        <f t="shared" ref="K76:K82" si="71">+E76-G76</f>
        <v>146666.66666666674</v>
      </c>
      <c r="L76" s="5">
        <f t="shared" ref="L76" si="72">SUM(G76:J76)+K76</f>
        <v>2200000</v>
      </c>
      <c r="M76" s="5">
        <f>+E76*4%</f>
        <v>88000</v>
      </c>
      <c r="N76" s="5">
        <f>+E76*4%</f>
        <v>88000</v>
      </c>
      <c r="O76" s="5"/>
      <c r="P76" s="5"/>
      <c r="Q76" s="5">
        <v>0</v>
      </c>
      <c r="R76" s="5"/>
      <c r="S76" s="5"/>
      <c r="T76" s="5"/>
      <c r="U76" s="5">
        <f t="shared" ref="U76" si="73">SUM(M76:T76)</f>
        <v>176000</v>
      </c>
      <c r="V76" s="7">
        <f t="shared" ref="V76:V81" si="74">+L76-U76</f>
        <v>2024000</v>
      </c>
      <c r="W76" s="8"/>
      <c r="X76" s="9"/>
      <c r="Y76" s="8">
        <f t="shared" si="26"/>
        <v>2024000</v>
      </c>
      <c r="Z76" s="10" t="s">
        <v>106</v>
      </c>
    </row>
    <row r="77" spans="1:28" x14ac:dyDescent="0.25">
      <c r="A77" s="103"/>
      <c r="B77" s="14">
        <v>30</v>
      </c>
      <c r="C77" s="11" t="s">
        <v>108</v>
      </c>
      <c r="D77" s="6" t="s">
        <v>27</v>
      </c>
      <c r="E77" s="5">
        <v>3000000</v>
      </c>
      <c r="F77" s="12">
        <v>30</v>
      </c>
      <c r="G77" s="5">
        <f t="shared" si="54"/>
        <v>3000000</v>
      </c>
      <c r="H77" s="5"/>
      <c r="I77" s="5">
        <v>585937</v>
      </c>
      <c r="J77" s="5"/>
      <c r="K77" s="5">
        <f t="shared" si="71"/>
        <v>0</v>
      </c>
      <c r="L77" s="5">
        <f t="shared" si="42"/>
        <v>3585937</v>
      </c>
      <c r="M77" s="5">
        <f>+E77*4%</f>
        <v>120000</v>
      </c>
      <c r="N77" s="5">
        <f>+E77*5%</f>
        <v>150000</v>
      </c>
      <c r="O77" s="5"/>
      <c r="P77" s="5"/>
      <c r="Q77" s="17">
        <v>0</v>
      </c>
      <c r="R77" s="5"/>
      <c r="S77" s="5">
        <v>0</v>
      </c>
      <c r="T77" s="5"/>
      <c r="U77" s="5">
        <f t="shared" si="47"/>
        <v>270000</v>
      </c>
      <c r="V77" s="7">
        <f t="shared" si="74"/>
        <v>3315937</v>
      </c>
      <c r="W77" s="8"/>
      <c r="X77" s="9"/>
      <c r="Y77" s="8">
        <f t="shared" si="26"/>
        <v>3315937</v>
      </c>
    </row>
    <row r="78" spans="1:28" ht="20.25" customHeight="1" x14ac:dyDescent="0.25">
      <c r="A78" s="103"/>
      <c r="B78" s="14">
        <v>31</v>
      </c>
      <c r="C78" s="11" t="s">
        <v>168</v>
      </c>
      <c r="D78" s="6"/>
      <c r="E78" s="5">
        <v>4500000</v>
      </c>
      <c r="F78" s="12">
        <v>30</v>
      </c>
      <c r="G78" s="5">
        <f t="shared" si="54"/>
        <v>4500000</v>
      </c>
      <c r="H78" s="5"/>
      <c r="I78" s="5"/>
      <c r="J78" s="5"/>
      <c r="K78" s="5">
        <f t="shared" si="71"/>
        <v>0</v>
      </c>
      <c r="L78" s="5">
        <f t="shared" ref="L78:L81" si="75">SUM(G78:J78)+K78</f>
        <v>4500000</v>
      </c>
      <c r="M78" s="5">
        <f>+G78*4%</f>
        <v>180000</v>
      </c>
      <c r="N78" s="5">
        <f>+G78*5%</f>
        <v>225000</v>
      </c>
      <c r="O78" s="5"/>
      <c r="P78" s="5"/>
      <c r="Q78" s="17">
        <v>18000</v>
      </c>
      <c r="R78" s="5"/>
      <c r="S78" s="5"/>
      <c r="T78" s="5"/>
      <c r="U78" s="5">
        <f t="shared" si="47"/>
        <v>423000</v>
      </c>
      <c r="V78" s="7">
        <f t="shared" si="74"/>
        <v>4077000</v>
      </c>
      <c r="W78" s="8"/>
      <c r="X78" s="9"/>
      <c r="Y78" s="8">
        <f t="shared" si="26"/>
        <v>4077000</v>
      </c>
    </row>
    <row r="79" spans="1:28" ht="16.5" customHeight="1" x14ac:dyDescent="0.25">
      <c r="A79" s="103"/>
      <c r="B79" s="14">
        <v>32</v>
      </c>
      <c r="C79" s="11" t="s">
        <v>109</v>
      </c>
      <c r="D79" s="6"/>
      <c r="E79" s="5">
        <v>4500000</v>
      </c>
      <c r="F79" s="12">
        <v>30</v>
      </c>
      <c r="G79" s="5">
        <f t="shared" si="54"/>
        <v>4500000</v>
      </c>
      <c r="H79" s="5"/>
      <c r="I79" s="5"/>
      <c r="J79" s="5"/>
      <c r="K79" s="5">
        <f t="shared" si="71"/>
        <v>0</v>
      </c>
      <c r="L79" s="5">
        <f t="shared" si="75"/>
        <v>4500000</v>
      </c>
      <c r="M79" s="5">
        <f>+G79*4%</f>
        <v>180000</v>
      </c>
      <c r="N79" s="5">
        <f>+G79*5%</f>
        <v>225000</v>
      </c>
      <c r="O79" s="5"/>
      <c r="P79" s="5"/>
      <c r="Q79" s="17">
        <v>72000</v>
      </c>
      <c r="R79" s="5"/>
      <c r="S79" s="5"/>
      <c r="T79" s="5"/>
      <c r="U79" s="5">
        <f t="shared" si="47"/>
        <v>477000</v>
      </c>
      <c r="V79" s="7">
        <f t="shared" si="74"/>
        <v>4023000</v>
      </c>
      <c r="W79" s="8"/>
      <c r="X79" s="9"/>
      <c r="Y79" s="8">
        <f t="shared" si="26"/>
        <v>4023000</v>
      </c>
    </row>
    <row r="80" spans="1:28" ht="18.75" customHeight="1" x14ac:dyDescent="0.25">
      <c r="A80" s="103"/>
      <c r="B80" s="14">
        <v>33</v>
      </c>
      <c r="C80" s="11" t="s">
        <v>169</v>
      </c>
      <c r="D80" s="6"/>
      <c r="E80" s="5">
        <v>737717</v>
      </c>
      <c r="F80" s="12">
        <v>23</v>
      </c>
      <c r="G80" s="5">
        <f t="shared" si="54"/>
        <v>565583.03333333333</v>
      </c>
      <c r="H80" s="5">
        <v>83140</v>
      </c>
      <c r="I80" s="5"/>
      <c r="J80" s="5"/>
      <c r="K80" s="5">
        <f t="shared" si="71"/>
        <v>172133.96666666667</v>
      </c>
      <c r="L80" s="5">
        <f t="shared" si="75"/>
        <v>820857</v>
      </c>
      <c r="M80" s="5">
        <f>+E80*4%</f>
        <v>29508.68</v>
      </c>
      <c r="N80" s="5">
        <f>+E80*4%</f>
        <v>29508.68</v>
      </c>
      <c r="O80" s="5"/>
      <c r="P80" s="5"/>
      <c r="Q80" s="17"/>
      <c r="R80" s="5"/>
      <c r="S80" s="5"/>
      <c r="T80" s="5"/>
      <c r="U80" s="5">
        <v>59018</v>
      </c>
      <c r="V80" s="7">
        <f t="shared" si="74"/>
        <v>761839</v>
      </c>
      <c r="W80" s="8"/>
      <c r="X80" s="9"/>
      <c r="Y80" s="8">
        <f t="shared" si="26"/>
        <v>761839</v>
      </c>
    </row>
    <row r="81" spans="1:25" ht="19.5" customHeight="1" x14ac:dyDescent="0.25">
      <c r="A81" s="103"/>
      <c r="B81" s="14">
        <v>34</v>
      </c>
      <c r="C81" s="11" t="s">
        <v>170</v>
      </c>
      <c r="D81" s="6"/>
      <c r="E81" s="5">
        <v>737717</v>
      </c>
      <c r="F81" s="12">
        <v>30</v>
      </c>
      <c r="G81" s="5">
        <f t="shared" si="54"/>
        <v>737717</v>
      </c>
      <c r="H81" s="5">
        <f t="shared" ref="H81" si="76">+(83140/30)*F81</f>
        <v>83140</v>
      </c>
      <c r="I81" s="5"/>
      <c r="J81" s="5"/>
      <c r="K81" s="5">
        <f t="shared" si="71"/>
        <v>0</v>
      </c>
      <c r="L81" s="5">
        <f t="shared" si="75"/>
        <v>820857</v>
      </c>
      <c r="M81" s="5">
        <f t="shared" ref="M81" si="77">+G81*4%</f>
        <v>29508.68</v>
      </c>
      <c r="N81" s="5">
        <f>+G81*4%</f>
        <v>29508.68</v>
      </c>
      <c r="O81" s="5"/>
      <c r="P81" s="5"/>
      <c r="Q81" s="17"/>
      <c r="R81" s="5"/>
      <c r="S81" s="5"/>
      <c r="T81" s="5"/>
      <c r="U81" s="5">
        <f>+U80</f>
        <v>59018</v>
      </c>
      <c r="V81" s="7">
        <f t="shared" si="74"/>
        <v>761839</v>
      </c>
      <c r="W81" s="8"/>
      <c r="X81" s="9"/>
      <c r="Y81" s="8">
        <f t="shared" si="26"/>
        <v>761839</v>
      </c>
    </row>
    <row r="82" spans="1:25" ht="19.5" customHeight="1" x14ac:dyDescent="0.25">
      <c r="A82" s="103"/>
      <c r="B82" s="14">
        <v>35</v>
      </c>
      <c r="C82" s="11" t="s">
        <v>171</v>
      </c>
      <c r="D82" s="6"/>
      <c r="E82" s="5">
        <v>2500000</v>
      </c>
      <c r="F82" s="12">
        <v>23</v>
      </c>
      <c r="G82" s="5">
        <f t="shared" si="54"/>
        <v>1916666.6666666665</v>
      </c>
      <c r="H82" s="5"/>
      <c r="I82" s="5"/>
      <c r="J82" s="5">
        <v>350000</v>
      </c>
      <c r="K82" s="5">
        <f t="shared" si="71"/>
        <v>583333.33333333349</v>
      </c>
      <c r="L82" s="5">
        <f>SUM(G82:J82)+K82</f>
        <v>2850000</v>
      </c>
      <c r="M82" s="5">
        <f>+E82*4%</f>
        <v>100000</v>
      </c>
      <c r="N82" s="5">
        <f>+E82*4%</f>
        <v>100000</v>
      </c>
      <c r="O82" s="5"/>
      <c r="P82" s="5"/>
      <c r="Q82" s="17"/>
      <c r="R82" s="5"/>
      <c r="S82" s="5"/>
      <c r="T82" s="5"/>
      <c r="U82" s="5">
        <f>SUM(M82:T82)</f>
        <v>200000</v>
      </c>
      <c r="V82" s="7">
        <f>+L82-U82</f>
        <v>2650000</v>
      </c>
      <c r="W82" s="8"/>
      <c r="X82" s="9"/>
      <c r="Y82" s="8">
        <f t="shared" si="26"/>
        <v>2650000</v>
      </c>
    </row>
    <row r="83" spans="1:25" ht="24" x14ac:dyDescent="0.25">
      <c r="A83" s="103"/>
      <c r="B83" s="14">
        <v>36</v>
      </c>
      <c r="C83" s="11" t="s">
        <v>110</v>
      </c>
      <c r="D83" s="6" t="s">
        <v>27</v>
      </c>
      <c r="E83" s="5">
        <v>2200000</v>
      </c>
      <c r="F83" s="12">
        <v>23</v>
      </c>
      <c r="G83" s="5">
        <f t="shared" si="54"/>
        <v>1686666.6666666665</v>
      </c>
      <c r="H83" s="5"/>
      <c r="I83" s="5"/>
      <c r="J83" s="5"/>
      <c r="K83" s="5">
        <f>+E83-G83</f>
        <v>513333.33333333349</v>
      </c>
      <c r="L83" s="5">
        <f t="shared" ref="L83" si="78">SUM(G83:J83)+K83</f>
        <v>2200000</v>
      </c>
      <c r="M83" s="5">
        <f>+E83*4%</f>
        <v>88000</v>
      </c>
      <c r="N83" s="5">
        <f>+E83*4%</f>
        <v>88000</v>
      </c>
      <c r="O83" s="5"/>
      <c r="P83" s="5"/>
      <c r="Q83" s="17">
        <v>0</v>
      </c>
      <c r="R83" s="5"/>
      <c r="S83" s="5"/>
      <c r="T83" s="5"/>
      <c r="U83" s="5">
        <f t="shared" ref="U83" si="79">SUM(M83:T83)</f>
        <v>176000</v>
      </c>
      <c r="V83" s="7">
        <f t="shared" ref="V83:V85" si="80">+L83-U83</f>
        <v>2024000</v>
      </c>
      <c r="W83" s="8"/>
      <c r="X83" s="9"/>
      <c r="Y83" s="8">
        <f t="shared" si="26"/>
        <v>2024000</v>
      </c>
    </row>
    <row r="84" spans="1:25" ht="22.5" customHeight="1" x14ac:dyDescent="0.25">
      <c r="A84" s="103"/>
      <c r="B84" s="14">
        <v>37</v>
      </c>
      <c r="C84" s="11" t="s">
        <v>150</v>
      </c>
      <c r="D84" s="6"/>
      <c r="E84" s="5">
        <v>2500000</v>
      </c>
      <c r="F84" s="12">
        <v>21</v>
      </c>
      <c r="G84" s="5">
        <v>1750000</v>
      </c>
      <c r="H84" s="5">
        <v>111116</v>
      </c>
      <c r="I84" s="5"/>
      <c r="J84" s="5"/>
      <c r="K84" s="5">
        <v>583333</v>
      </c>
      <c r="L84" s="5">
        <f t="shared" ref="L84:L87" si="81">SUM(G84:J84)+K84</f>
        <v>2444449</v>
      </c>
      <c r="M84" s="5">
        <v>100000</v>
      </c>
      <c r="N84" s="5">
        <v>100000</v>
      </c>
      <c r="O84" s="5"/>
      <c r="P84" s="5"/>
      <c r="Q84" s="5">
        <v>0</v>
      </c>
      <c r="R84" s="5"/>
      <c r="S84" s="5"/>
      <c r="T84" s="5"/>
      <c r="U84" s="5">
        <f>SUM(M84:T84)</f>
        <v>200000</v>
      </c>
      <c r="V84" s="7">
        <f t="shared" si="80"/>
        <v>2244449</v>
      </c>
      <c r="W84" s="8"/>
      <c r="X84" s="9"/>
      <c r="Y84" s="8">
        <f t="shared" si="26"/>
        <v>2244449</v>
      </c>
    </row>
    <row r="85" spans="1:25" ht="20.25" customHeight="1" x14ac:dyDescent="0.25">
      <c r="A85" s="103"/>
      <c r="B85" s="14">
        <v>38</v>
      </c>
      <c r="C85" s="11" t="s">
        <v>112</v>
      </c>
      <c r="D85" s="6" t="s">
        <v>27</v>
      </c>
      <c r="E85" s="5">
        <v>5500000</v>
      </c>
      <c r="F85" s="12">
        <v>23</v>
      </c>
      <c r="G85" s="5">
        <f t="shared" si="54"/>
        <v>4216666.666666667</v>
      </c>
      <c r="H85" s="5"/>
      <c r="I85" s="5"/>
      <c r="J85" s="5"/>
      <c r="K85" s="5">
        <f t="shared" ref="K85:K96" si="82">+E85-G85</f>
        <v>1283333.333333333</v>
      </c>
      <c r="L85" s="5">
        <f t="shared" si="81"/>
        <v>5500000</v>
      </c>
      <c r="M85" s="5">
        <f>+E85*4%</f>
        <v>220000</v>
      </c>
      <c r="N85" s="5">
        <f>+E85*5%</f>
        <v>275000</v>
      </c>
      <c r="O85" s="5"/>
      <c r="P85" s="5"/>
      <c r="Q85" s="5">
        <v>102000</v>
      </c>
      <c r="R85" s="5"/>
      <c r="S85" s="5"/>
      <c r="T85" s="5">
        <v>610699</v>
      </c>
      <c r="U85" s="5">
        <f t="shared" ref="U85" si="83">SUM(M85:T85)</f>
        <v>1207699</v>
      </c>
      <c r="V85" s="7">
        <f t="shared" si="80"/>
        <v>4292301</v>
      </c>
      <c r="W85" s="8"/>
      <c r="X85" s="9"/>
      <c r="Y85" s="8">
        <f t="shared" si="26"/>
        <v>4292301</v>
      </c>
    </row>
    <row r="86" spans="1:25" ht="21.75" customHeight="1" x14ac:dyDescent="0.25">
      <c r="A86" s="103"/>
      <c r="B86" s="14">
        <v>39</v>
      </c>
      <c r="C86" s="11" t="s">
        <v>185</v>
      </c>
      <c r="D86" s="6"/>
      <c r="E86" s="5">
        <v>5400000</v>
      </c>
      <c r="F86" s="12">
        <v>30</v>
      </c>
      <c r="G86" s="5">
        <f>+E86/30*F86</f>
        <v>5400000</v>
      </c>
      <c r="H86" s="5"/>
      <c r="I86" s="5"/>
      <c r="J86" s="5"/>
      <c r="K86" s="5">
        <f t="shared" si="82"/>
        <v>0</v>
      </c>
      <c r="L86" s="5">
        <f>SUM(G86:J86)+K86</f>
        <v>5400000</v>
      </c>
      <c r="M86" s="5">
        <f>+G86*4%</f>
        <v>216000</v>
      </c>
      <c r="N86" s="5">
        <f>+G86*5%</f>
        <v>270000</v>
      </c>
      <c r="O86" s="5"/>
      <c r="P86" s="5"/>
      <c r="Q86" s="5">
        <v>125000</v>
      </c>
      <c r="R86" s="5"/>
      <c r="S86" s="5"/>
      <c r="T86" s="5"/>
      <c r="U86" s="5">
        <f>SUM(M86:T86)</f>
        <v>611000</v>
      </c>
      <c r="V86" s="7">
        <f>+L86-U86</f>
        <v>4789000</v>
      </c>
      <c r="W86" s="8"/>
      <c r="X86" s="9"/>
      <c r="Y86" s="8">
        <f t="shared" si="26"/>
        <v>4789000</v>
      </c>
    </row>
    <row r="87" spans="1:25" x14ac:dyDescent="0.25">
      <c r="A87" s="103"/>
      <c r="B87" s="14">
        <v>40</v>
      </c>
      <c r="C87" s="11" t="s">
        <v>113</v>
      </c>
      <c r="D87" s="6" t="s">
        <v>27</v>
      </c>
      <c r="E87" s="5">
        <v>4500000</v>
      </c>
      <c r="F87" s="12">
        <v>30</v>
      </c>
      <c r="G87" s="5">
        <f>+E87/30*F87</f>
        <v>4500000</v>
      </c>
      <c r="H87" s="5"/>
      <c r="I87" s="5"/>
      <c r="J87" s="5"/>
      <c r="K87" s="5">
        <f t="shared" si="82"/>
        <v>0</v>
      </c>
      <c r="L87" s="5">
        <f t="shared" si="81"/>
        <v>4500000</v>
      </c>
      <c r="M87" s="5">
        <f>+L87*4%</f>
        <v>180000</v>
      </c>
      <c r="N87" s="5">
        <f>+L87*5%</f>
        <v>225000</v>
      </c>
      <c r="O87" s="5">
        <v>0</v>
      </c>
      <c r="P87" s="5"/>
      <c r="Q87" s="5">
        <v>8500</v>
      </c>
      <c r="R87" s="5"/>
      <c r="S87" s="5"/>
      <c r="T87" s="5"/>
      <c r="U87" s="5">
        <f>SUM(M87:T87)</f>
        <v>413500</v>
      </c>
      <c r="V87" s="7">
        <f t="shared" ref="V87:V90" si="84">L87-U87</f>
        <v>4086500</v>
      </c>
      <c r="W87" s="8"/>
      <c r="X87" s="9"/>
      <c r="Y87" s="8">
        <f t="shared" si="26"/>
        <v>4086500</v>
      </c>
    </row>
    <row r="88" spans="1:25" x14ac:dyDescent="0.25">
      <c r="A88" s="103"/>
      <c r="B88" s="14">
        <v>41</v>
      </c>
      <c r="C88" s="11" t="s">
        <v>114</v>
      </c>
      <c r="D88" s="6" t="s">
        <v>27</v>
      </c>
      <c r="E88" s="5">
        <v>3500000</v>
      </c>
      <c r="F88" s="12">
        <v>30</v>
      </c>
      <c r="G88" s="5">
        <f t="shared" si="54"/>
        <v>3500000</v>
      </c>
      <c r="H88" s="5"/>
      <c r="I88" s="5"/>
      <c r="J88" s="5"/>
      <c r="K88" s="5">
        <f t="shared" si="82"/>
        <v>0</v>
      </c>
      <c r="L88" s="5">
        <f t="shared" ref="L88:L105" si="85">SUM(G88:J88)+K88</f>
        <v>3500000</v>
      </c>
      <c r="M88" s="5">
        <f>+G88*4%</f>
        <v>140000</v>
      </c>
      <c r="N88" s="5">
        <f>+G88*5%</f>
        <v>175000</v>
      </c>
      <c r="O88" s="5">
        <v>0</v>
      </c>
      <c r="P88" s="5"/>
      <c r="Q88" s="5">
        <v>0</v>
      </c>
      <c r="R88" s="5"/>
      <c r="S88" s="5"/>
      <c r="T88" s="5"/>
      <c r="U88" s="5">
        <f t="shared" si="47"/>
        <v>315000</v>
      </c>
      <c r="V88" s="7">
        <f t="shared" si="84"/>
        <v>3185000</v>
      </c>
      <c r="W88" s="8"/>
      <c r="X88" s="9"/>
      <c r="Y88" s="8">
        <f t="shared" si="26"/>
        <v>3185000</v>
      </c>
    </row>
    <row r="89" spans="1:25" ht="24" x14ac:dyDescent="0.25">
      <c r="A89" s="103"/>
      <c r="B89" s="14">
        <v>42</v>
      </c>
      <c r="C89" s="11" t="s">
        <v>116</v>
      </c>
      <c r="D89" s="6" t="s">
        <v>27</v>
      </c>
      <c r="E89" s="5">
        <v>1500000</v>
      </c>
      <c r="F89" s="12">
        <v>30</v>
      </c>
      <c r="G89" s="5">
        <f t="shared" si="54"/>
        <v>1500000</v>
      </c>
      <c r="H89" s="5"/>
      <c r="I89" s="5"/>
      <c r="J89" s="5"/>
      <c r="K89" s="5">
        <f t="shared" si="82"/>
        <v>0</v>
      </c>
      <c r="L89" s="5">
        <f t="shared" ref="L89" si="86">SUM(G89:J89)+K89</f>
        <v>1500000</v>
      </c>
      <c r="M89" s="5">
        <f>+G89*4%</f>
        <v>60000</v>
      </c>
      <c r="N89" s="5">
        <f>+G89*4%</f>
        <v>60000</v>
      </c>
      <c r="O89" s="5"/>
      <c r="P89" s="5"/>
      <c r="Q89" s="5"/>
      <c r="R89" s="5"/>
      <c r="S89" s="5"/>
      <c r="T89" s="5"/>
      <c r="U89" s="5">
        <f t="shared" si="47"/>
        <v>120000</v>
      </c>
      <c r="V89" s="7">
        <f t="shared" si="84"/>
        <v>1380000</v>
      </c>
      <c r="W89" s="8"/>
      <c r="X89" s="9"/>
      <c r="Y89" s="8">
        <f t="shared" si="26"/>
        <v>1380000</v>
      </c>
    </row>
    <row r="90" spans="1:25" ht="23.25" customHeight="1" x14ac:dyDescent="0.25">
      <c r="A90" s="103"/>
      <c r="B90" s="14">
        <v>43</v>
      </c>
      <c r="C90" s="3" t="s">
        <v>117</v>
      </c>
      <c r="D90" s="4" t="s">
        <v>27</v>
      </c>
      <c r="E90" s="5">
        <v>737717</v>
      </c>
      <c r="F90" s="12">
        <v>30</v>
      </c>
      <c r="G90" s="5">
        <f t="shared" si="54"/>
        <v>737717</v>
      </c>
      <c r="H90" s="5">
        <v>83140</v>
      </c>
      <c r="I90" s="5"/>
      <c r="J90" s="19">
        <v>32659</v>
      </c>
      <c r="K90" s="5">
        <f t="shared" si="82"/>
        <v>0</v>
      </c>
      <c r="L90" s="5">
        <f t="shared" si="85"/>
        <v>853516</v>
      </c>
      <c r="M90" s="5">
        <v>29509</v>
      </c>
      <c r="N90" s="5">
        <v>29509</v>
      </c>
      <c r="O90" s="5"/>
      <c r="P90" s="5"/>
      <c r="Q90" s="5">
        <v>0</v>
      </c>
      <c r="R90" s="5"/>
      <c r="S90" s="5"/>
      <c r="T90" s="5"/>
      <c r="U90" s="5">
        <f t="shared" si="47"/>
        <v>59018</v>
      </c>
      <c r="V90" s="7">
        <f t="shared" si="84"/>
        <v>794498</v>
      </c>
      <c r="W90" s="8"/>
      <c r="X90" s="9"/>
      <c r="Y90" s="8">
        <f>V90+W90-X90</f>
        <v>794498</v>
      </c>
    </row>
    <row r="91" spans="1:25" ht="22.5" customHeight="1" x14ac:dyDescent="0.25">
      <c r="A91" s="103"/>
      <c r="B91" s="14">
        <v>44</v>
      </c>
      <c r="C91" s="3" t="s">
        <v>177</v>
      </c>
      <c r="D91" s="4"/>
      <c r="E91" s="5">
        <v>737717</v>
      </c>
      <c r="F91" s="12">
        <v>23</v>
      </c>
      <c r="G91" s="5">
        <f t="shared" si="54"/>
        <v>565583.03333333333</v>
      </c>
      <c r="H91" s="5">
        <v>83140</v>
      </c>
      <c r="I91" s="5"/>
      <c r="J91" s="19">
        <v>23052</v>
      </c>
      <c r="K91" s="5">
        <f t="shared" si="82"/>
        <v>172133.96666666667</v>
      </c>
      <c r="L91" s="5">
        <f>SUM(G91:J91)+K91</f>
        <v>843909</v>
      </c>
      <c r="M91" s="5">
        <f>+E91*4%</f>
        <v>29508.68</v>
      </c>
      <c r="N91" s="5">
        <f>+E91*4%</f>
        <v>29508.68</v>
      </c>
      <c r="O91" s="5"/>
      <c r="P91" s="5"/>
      <c r="Q91" s="5"/>
      <c r="R91" s="5"/>
      <c r="S91" s="5"/>
      <c r="T91" s="5"/>
      <c r="U91" s="5">
        <f t="shared" si="47"/>
        <v>59017.36</v>
      </c>
      <c r="V91" s="7">
        <f>L91-U91</f>
        <v>784891.64</v>
      </c>
      <c r="W91" s="8"/>
      <c r="X91" s="9"/>
      <c r="Y91" s="8">
        <f>V91+W91-X91</f>
        <v>784891.64</v>
      </c>
    </row>
    <row r="92" spans="1:25" ht="22.5" customHeight="1" x14ac:dyDescent="0.25">
      <c r="A92" s="103"/>
      <c r="B92" s="14">
        <v>45</v>
      </c>
      <c r="C92" s="3" t="s">
        <v>190</v>
      </c>
      <c r="D92" s="4"/>
      <c r="E92" s="5">
        <v>400000</v>
      </c>
      <c r="F92" s="12">
        <v>30</v>
      </c>
      <c r="G92" s="5">
        <f>+E92</f>
        <v>400000</v>
      </c>
      <c r="H92" s="5">
        <v>41570</v>
      </c>
      <c r="I92" s="5"/>
      <c r="J92" s="5"/>
      <c r="K92" s="5">
        <f t="shared" si="82"/>
        <v>0</v>
      </c>
      <c r="L92" s="5">
        <f>SUM(G92:J92)+K92</f>
        <v>441570</v>
      </c>
      <c r="M92" s="5">
        <f>+G92*4%</f>
        <v>16000</v>
      </c>
      <c r="N92" s="5">
        <f>+G92*4%</f>
        <v>16000</v>
      </c>
      <c r="O92" s="5"/>
      <c r="P92" s="5"/>
      <c r="Q92" s="5"/>
      <c r="R92" s="5"/>
      <c r="S92" s="5"/>
      <c r="T92" s="5"/>
      <c r="U92" s="5">
        <f t="shared" si="47"/>
        <v>32000</v>
      </c>
      <c r="V92" s="7">
        <f>L92-U92</f>
        <v>409570</v>
      </c>
      <c r="W92" s="8"/>
      <c r="X92" s="9"/>
      <c r="Y92" s="8">
        <f>V92+W92-X92</f>
        <v>409570</v>
      </c>
    </row>
    <row r="93" spans="1:25" x14ac:dyDescent="0.25">
      <c r="A93" s="103"/>
      <c r="B93" s="14">
        <v>46</v>
      </c>
      <c r="C93" s="11" t="s">
        <v>120</v>
      </c>
      <c r="D93" s="6" t="s">
        <v>27</v>
      </c>
      <c r="E93" s="5">
        <v>15400000</v>
      </c>
      <c r="F93" s="12">
        <v>30</v>
      </c>
      <c r="G93" s="5">
        <f t="shared" si="54"/>
        <v>15400000</v>
      </c>
      <c r="H93" s="5"/>
      <c r="I93" s="5"/>
      <c r="J93" s="5">
        <v>600000</v>
      </c>
      <c r="K93" s="5">
        <f t="shared" si="82"/>
        <v>0</v>
      </c>
      <c r="L93" s="5">
        <f t="shared" si="85"/>
        <v>16000000</v>
      </c>
      <c r="M93" s="5">
        <v>616000</v>
      </c>
      <c r="N93" s="5">
        <f>616000+308000</f>
        <v>924000</v>
      </c>
      <c r="O93" s="5">
        <v>102400</v>
      </c>
      <c r="P93" s="5"/>
      <c r="Q93" s="5">
        <v>916000</v>
      </c>
      <c r="R93" s="5">
        <v>5000000</v>
      </c>
      <c r="S93" s="5"/>
      <c r="T93" s="5">
        <v>2314715</v>
      </c>
      <c r="U93" s="5">
        <f t="shared" si="47"/>
        <v>9873115</v>
      </c>
      <c r="V93" s="7">
        <f>+L93-U93</f>
        <v>6126885</v>
      </c>
      <c r="W93" s="8"/>
      <c r="X93" s="9"/>
      <c r="Y93" s="8">
        <f t="shared" ref="Y93:Y111" si="87">V93+W93-X93</f>
        <v>6126885</v>
      </c>
    </row>
    <row r="94" spans="1:25" x14ac:dyDescent="0.25">
      <c r="A94" s="103"/>
      <c r="B94" s="14">
        <v>47</v>
      </c>
      <c r="C94" s="11" t="s">
        <v>121</v>
      </c>
      <c r="D94" s="6" t="s">
        <v>27</v>
      </c>
      <c r="E94" s="5">
        <v>4500000</v>
      </c>
      <c r="F94" s="12">
        <v>23</v>
      </c>
      <c r="G94" s="5">
        <f t="shared" si="54"/>
        <v>3450000</v>
      </c>
      <c r="H94" s="5"/>
      <c r="I94" s="5"/>
      <c r="J94" s="5">
        <v>0</v>
      </c>
      <c r="K94" s="5">
        <f t="shared" si="82"/>
        <v>1050000</v>
      </c>
      <c r="L94" s="5">
        <f t="shared" si="85"/>
        <v>4500000</v>
      </c>
      <c r="M94" s="5">
        <v>180000</v>
      </c>
      <c r="N94" s="5">
        <v>225000</v>
      </c>
      <c r="O94" s="5"/>
      <c r="P94" s="5"/>
      <c r="Q94" s="5">
        <v>72000</v>
      </c>
      <c r="R94" s="5"/>
      <c r="S94" s="5"/>
      <c r="T94" s="5">
        <v>1138458</v>
      </c>
      <c r="U94" s="5">
        <f t="shared" si="47"/>
        <v>1615458</v>
      </c>
      <c r="V94" s="7">
        <f>+L94-U94</f>
        <v>2884542</v>
      </c>
      <c r="W94" s="8"/>
      <c r="X94" s="9"/>
      <c r="Y94" s="8">
        <f t="shared" si="87"/>
        <v>2884542</v>
      </c>
    </row>
    <row r="95" spans="1:25" ht="24" x14ac:dyDescent="0.25">
      <c r="A95" s="103"/>
      <c r="B95" s="14">
        <v>48</v>
      </c>
      <c r="C95" s="11" t="s">
        <v>159</v>
      </c>
      <c r="D95" s="6"/>
      <c r="E95" s="5">
        <v>1600000</v>
      </c>
      <c r="F95" s="12">
        <v>23</v>
      </c>
      <c r="G95" s="5">
        <f t="shared" si="54"/>
        <v>1226666.6666666667</v>
      </c>
      <c r="H95" s="5"/>
      <c r="I95" s="5"/>
      <c r="J95" s="5"/>
      <c r="K95" s="5">
        <f t="shared" si="82"/>
        <v>373333.33333333326</v>
      </c>
      <c r="L95" s="5">
        <f t="shared" ref="L95" si="88">SUM(G95:J95)+K95</f>
        <v>1600000</v>
      </c>
      <c r="M95" s="5">
        <f>+E95*4%</f>
        <v>64000</v>
      </c>
      <c r="N95" s="5">
        <f>+E95*4%</f>
        <v>64000</v>
      </c>
      <c r="O95" s="5"/>
      <c r="P95" s="5"/>
      <c r="Q95" s="5"/>
      <c r="R95" s="5"/>
      <c r="S95" s="5"/>
      <c r="T95" s="5"/>
      <c r="U95" s="5">
        <f t="shared" ref="U95" si="89">SUM(M95:T95)</f>
        <v>128000</v>
      </c>
      <c r="V95" s="7">
        <f>+L95-U95</f>
        <v>1472000</v>
      </c>
      <c r="W95" s="8"/>
      <c r="X95" s="9"/>
      <c r="Y95" s="8">
        <f t="shared" si="87"/>
        <v>1472000</v>
      </c>
    </row>
    <row r="96" spans="1:25" x14ac:dyDescent="0.25">
      <c r="A96" s="103"/>
      <c r="B96" s="14">
        <v>49</v>
      </c>
      <c r="C96" s="11" t="s">
        <v>122</v>
      </c>
      <c r="D96" s="6" t="s">
        <v>27</v>
      </c>
      <c r="E96" s="5">
        <v>2500000</v>
      </c>
      <c r="F96" s="12">
        <v>16</v>
      </c>
      <c r="G96" s="5">
        <f t="shared" si="54"/>
        <v>1333333.3333333333</v>
      </c>
      <c r="H96" s="5"/>
      <c r="I96" s="5"/>
      <c r="J96" s="5"/>
      <c r="K96" s="5">
        <f t="shared" si="82"/>
        <v>1166666.6666666667</v>
      </c>
      <c r="L96" s="5">
        <f t="shared" si="85"/>
        <v>2500000</v>
      </c>
      <c r="M96" s="5">
        <v>100000</v>
      </c>
      <c r="N96" s="5">
        <v>100000</v>
      </c>
      <c r="O96" s="5"/>
      <c r="P96" s="5"/>
      <c r="Q96" s="5">
        <v>0</v>
      </c>
      <c r="R96" s="5"/>
      <c r="S96" s="5"/>
      <c r="T96" s="5"/>
      <c r="U96" s="5">
        <f t="shared" si="47"/>
        <v>200000</v>
      </c>
      <c r="V96" s="7">
        <f>+L96-U96</f>
        <v>2300000</v>
      </c>
      <c r="W96" s="8"/>
      <c r="X96" s="9"/>
      <c r="Y96" s="8">
        <f t="shared" si="87"/>
        <v>2300000</v>
      </c>
    </row>
    <row r="97" spans="1:25" x14ac:dyDescent="0.25">
      <c r="A97" s="103"/>
      <c r="B97" s="14">
        <v>50</v>
      </c>
      <c r="C97" s="3" t="s">
        <v>123</v>
      </c>
      <c r="D97" s="4" t="s">
        <v>27</v>
      </c>
      <c r="E97" s="5">
        <v>3000000</v>
      </c>
      <c r="F97" s="12">
        <v>30</v>
      </c>
      <c r="G97" s="5">
        <f>+E97-K97</f>
        <v>2533333</v>
      </c>
      <c r="H97" s="5"/>
      <c r="I97" s="5"/>
      <c r="J97" s="5">
        <v>270000</v>
      </c>
      <c r="K97" s="5">
        <v>466667</v>
      </c>
      <c r="L97" s="5">
        <f t="shared" si="85"/>
        <v>3270000</v>
      </c>
      <c r="M97" s="5">
        <v>120000</v>
      </c>
      <c r="N97" s="5">
        <v>150000</v>
      </c>
      <c r="O97" s="5"/>
      <c r="P97" s="5"/>
      <c r="Q97" s="5">
        <v>0</v>
      </c>
      <c r="R97" s="5"/>
      <c r="S97" s="5"/>
      <c r="T97" s="5">
        <v>514771</v>
      </c>
      <c r="U97" s="5">
        <f>SUM(M97:T97)</f>
        <v>784771</v>
      </c>
      <c r="V97" s="7">
        <f>L97-U97</f>
        <v>2485229</v>
      </c>
      <c r="W97" s="8"/>
      <c r="X97" s="9"/>
      <c r="Y97" s="8">
        <f t="shared" si="87"/>
        <v>2485229</v>
      </c>
    </row>
    <row r="98" spans="1:25" x14ac:dyDescent="0.25">
      <c r="A98" s="103"/>
      <c r="B98" s="14">
        <v>51</v>
      </c>
      <c r="C98" s="3" t="s">
        <v>124</v>
      </c>
      <c r="D98" s="4" t="s">
        <v>27</v>
      </c>
      <c r="E98" s="5">
        <v>1600000</v>
      </c>
      <c r="F98" s="12">
        <v>16</v>
      </c>
      <c r="G98" s="5">
        <f t="shared" si="54"/>
        <v>853333.33333333337</v>
      </c>
      <c r="H98" s="5"/>
      <c r="I98" s="5"/>
      <c r="J98" s="5">
        <v>200000</v>
      </c>
      <c r="K98" s="5">
        <f>+E98-G98</f>
        <v>746666.66666666663</v>
      </c>
      <c r="L98" s="5">
        <f>SUM(G98:J98)+K98</f>
        <v>1800000</v>
      </c>
      <c r="M98" s="5">
        <f>+E98*4%</f>
        <v>64000</v>
      </c>
      <c r="N98" s="5">
        <f>+E98*4%</f>
        <v>64000</v>
      </c>
      <c r="O98" s="5"/>
      <c r="P98" s="5"/>
      <c r="Q98" s="5"/>
      <c r="R98" s="5"/>
      <c r="S98" s="5"/>
      <c r="T98" s="5"/>
      <c r="U98" s="5">
        <f>SUM(M98:T98)</f>
        <v>128000</v>
      </c>
      <c r="V98" s="7">
        <f>L98-U98</f>
        <v>1672000</v>
      </c>
      <c r="W98" s="8"/>
      <c r="X98" s="9"/>
      <c r="Y98" s="8">
        <f t="shared" si="87"/>
        <v>1672000</v>
      </c>
    </row>
    <row r="99" spans="1:25" ht="23.25" customHeight="1" x14ac:dyDescent="0.25">
      <c r="A99" s="103"/>
      <c r="B99" s="14">
        <v>52</v>
      </c>
      <c r="C99" s="11" t="s">
        <v>128</v>
      </c>
      <c r="D99" s="6" t="s">
        <v>27</v>
      </c>
      <c r="E99" s="5">
        <v>3750000</v>
      </c>
      <c r="F99" s="12">
        <v>23</v>
      </c>
      <c r="G99" s="5">
        <f t="shared" si="54"/>
        <v>2875000</v>
      </c>
      <c r="H99" s="5"/>
      <c r="I99" s="5"/>
      <c r="J99" s="5"/>
      <c r="K99" s="5">
        <f t="shared" ref="K99:K101" si="90">+E99-G99</f>
        <v>875000</v>
      </c>
      <c r="L99" s="5">
        <f t="shared" si="85"/>
        <v>3750000</v>
      </c>
      <c r="M99" s="5">
        <f>+E99*4%</f>
        <v>150000</v>
      </c>
      <c r="N99" s="5">
        <f>+E99*5%</f>
        <v>187500</v>
      </c>
      <c r="O99" s="5"/>
      <c r="P99" s="5"/>
      <c r="Q99" s="5"/>
      <c r="R99" s="5"/>
      <c r="S99" s="5"/>
      <c r="T99" s="5"/>
      <c r="U99" s="5">
        <f t="shared" si="47"/>
        <v>337500</v>
      </c>
      <c r="V99" s="7">
        <f>+L99-U99</f>
        <v>3412500</v>
      </c>
      <c r="W99" s="8"/>
      <c r="X99" s="9"/>
      <c r="Y99" s="8">
        <f t="shared" si="87"/>
        <v>3412500</v>
      </c>
    </row>
    <row r="100" spans="1:25" ht="24" x14ac:dyDescent="0.25">
      <c r="A100" s="103"/>
      <c r="B100" s="14">
        <v>53</v>
      </c>
      <c r="C100" s="11" t="s">
        <v>129</v>
      </c>
      <c r="D100" s="6" t="s">
        <v>27</v>
      </c>
      <c r="E100" s="5">
        <v>3700000</v>
      </c>
      <c r="F100" s="12">
        <v>30</v>
      </c>
      <c r="G100" s="5">
        <f t="shared" si="54"/>
        <v>3700000</v>
      </c>
      <c r="H100" s="5"/>
      <c r="J100" s="5">
        <v>650000</v>
      </c>
      <c r="K100" s="5">
        <f t="shared" si="90"/>
        <v>0</v>
      </c>
      <c r="L100" s="5">
        <f>SUM(G100:J100)+K100</f>
        <v>4350000</v>
      </c>
      <c r="M100" s="5">
        <f t="shared" ref="M100" si="91">+G100*4%</f>
        <v>148000</v>
      </c>
      <c r="N100" s="5">
        <f>+G100*5%</f>
        <v>185000</v>
      </c>
      <c r="O100" s="5"/>
      <c r="P100" s="5"/>
      <c r="Q100" s="5"/>
      <c r="R100" s="5"/>
      <c r="S100" s="5"/>
      <c r="T100" s="5"/>
      <c r="U100" s="5">
        <f t="shared" ref="U100:U101" si="92">SUM(M100:T100)</f>
        <v>333000</v>
      </c>
      <c r="V100" s="7">
        <f>+L100-U100</f>
        <v>4017000</v>
      </c>
      <c r="W100" s="8"/>
      <c r="X100" s="9"/>
      <c r="Y100" s="8">
        <f t="shared" si="87"/>
        <v>4017000</v>
      </c>
    </row>
    <row r="101" spans="1:25" ht="22.5" customHeight="1" x14ac:dyDescent="0.25">
      <c r="A101" s="103"/>
      <c r="B101" s="14">
        <v>54</v>
      </c>
      <c r="C101" s="11" t="s">
        <v>68</v>
      </c>
      <c r="D101" s="6" t="s">
        <v>27</v>
      </c>
      <c r="E101" s="5">
        <v>3500000</v>
      </c>
      <c r="F101" s="12">
        <v>30</v>
      </c>
      <c r="G101" s="5">
        <f t="shared" si="54"/>
        <v>3500000</v>
      </c>
      <c r="H101" s="5"/>
      <c r="I101" s="5"/>
      <c r="J101" s="5" t="s">
        <v>1</v>
      </c>
      <c r="K101" s="5">
        <f t="shared" si="90"/>
        <v>0</v>
      </c>
      <c r="L101" s="5">
        <f t="shared" ref="L101" si="93">SUM(G101:J101)+K101</f>
        <v>3500000</v>
      </c>
      <c r="M101" s="5">
        <f>+L101*4%</f>
        <v>140000</v>
      </c>
      <c r="N101" s="5">
        <f>+L101*5%</f>
        <v>175000</v>
      </c>
      <c r="O101" s="5"/>
      <c r="P101" s="5"/>
      <c r="Q101" s="5"/>
      <c r="R101" s="5"/>
      <c r="S101" s="5"/>
      <c r="T101" s="5"/>
      <c r="U101" s="5">
        <f t="shared" si="92"/>
        <v>315000</v>
      </c>
      <c r="V101" s="7">
        <f t="shared" ref="V101" si="94">+L101-U101</f>
        <v>3185000</v>
      </c>
      <c r="W101" s="8"/>
      <c r="X101" s="9"/>
      <c r="Y101" s="8">
        <f t="shared" si="87"/>
        <v>3185000</v>
      </c>
    </row>
    <row r="102" spans="1:25" ht="19.5" customHeight="1" x14ac:dyDescent="0.25">
      <c r="A102" s="103"/>
      <c r="B102" s="14">
        <v>55</v>
      </c>
      <c r="C102" s="11" t="s">
        <v>130</v>
      </c>
      <c r="D102" s="6" t="s">
        <v>35</v>
      </c>
      <c r="E102" s="5">
        <v>2000000</v>
      </c>
      <c r="F102" s="12">
        <v>23</v>
      </c>
      <c r="G102" s="5">
        <f t="shared" si="54"/>
        <v>1533333.3333333335</v>
      </c>
      <c r="H102" s="5"/>
      <c r="I102" s="5"/>
      <c r="J102" s="5"/>
      <c r="K102" s="5">
        <f>+E102-G102</f>
        <v>466666.66666666651</v>
      </c>
      <c r="L102" s="5">
        <f t="shared" si="85"/>
        <v>2000000</v>
      </c>
      <c r="M102" s="5">
        <f>+E102*4%</f>
        <v>80000</v>
      </c>
      <c r="N102" s="5">
        <f>+E102*4%</f>
        <v>80000</v>
      </c>
      <c r="O102" s="5"/>
      <c r="P102" s="5"/>
      <c r="Q102" s="17"/>
      <c r="R102" s="5"/>
      <c r="S102" s="5"/>
      <c r="T102" s="5"/>
      <c r="U102" s="5">
        <f t="shared" si="47"/>
        <v>160000</v>
      </c>
      <c r="V102" s="7">
        <f>+L102-U102</f>
        <v>1840000</v>
      </c>
      <c r="W102" s="8"/>
      <c r="X102" s="9"/>
      <c r="Y102" s="8">
        <f t="shared" si="87"/>
        <v>1840000</v>
      </c>
    </row>
    <row r="103" spans="1:25" ht="22.5" customHeight="1" x14ac:dyDescent="0.25">
      <c r="A103" s="103"/>
      <c r="B103" s="14">
        <v>56</v>
      </c>
      <c r="C103" s="11" t="s">
        <v>173</v>
      </c>
      <c r="D103" s="6"/>
      <c r="E103" s="5">
        <v>1500000</v>
      </c>
      <c r="F103" s="12">
        <v>23</v>
      </c>
      <c r="G103" s="5">
        <f t="shared" si="54"/>
        <v>1150000</v>
      </c>
      <c r="H103" s="5"/>
      <c r="I103" s="5"/>
      <c r="J103" s="5"/>
      <c r="K103" s="5">
        <f>+E103-G103</f>
        <v>350000</v>
      </c>
      <c r="L103" s="5">
        <f t="shared" ref="L103" si="95">SUM(G103:J103)+K103</f>
        <v>1500000</v>
      </c>
      <c r="M103" s="5">
        <f>+E103*4%</f>
        <v>60000</v>
      </c>
      <c r="N103" s="5">
        <f>+E103*4%</f>
        <v>60000</v>
      </c>
      <c r="O103" s="5">
        <v>0</v>
      </c>
      <c r="P103" s="5"/>
      <c r="Q103" s="17"/>
      <c r="R103" s="5"/>
      <c r="S103" s="5"/>
      <c r="T103" s="5"/>
      <c r="U103" s="5">
        <f t="shared" si="47"/>
        <v>120000</v>
      </c>
      <c r="V103" s="7">
        <f>+L103-U103</f>
        <v>1380000</v>
      </c>
      <c r="W103" s="8"/>
      <c r="X103" s="9"/>
      <c r="Y103" s="8">
        <f t="shared" si="87"/>
        <v>1380000</v>
      </c>
    </row>
    <row r="104" spans="1:25" x14ac:dyDescent="0.25">
      <c r="A104" s="103"/>
      <c r="B104" s="14">
        <v>57</v>
      </c>
      <c r="C104" s="3" t="s">
        <v>131</v>
      </c>
      <c r="D104" s="4" t="s">
        <v>27</v>
      </c>
      <c r="E104" s="5">
        <v>1600000</v>
      </c>
      <c r="F104" s="12">
        <v>8</v>
      </c>
      <c r="G104" s="5">
        <f t="shared" si="54"/>
        <v>426666.66666666669</v>
      </c>
      <c r="H104" s="5"/>
      <c r="I104" s="5"/>
      <c r="J104" s="5"/>
      <c r="K104" s="5">
        <f>+E104-G104</f>
        <v>1173333.3333333333</v>
      </c>
      <c r="L104" s="5">
        <f t="shared" si="85"/>
        <v>1600000</v>
      </c>
      <c r="M104" s="5">
        <f>+L104*4%</f>
        <v>64000</v>
      </c>
      <c r="N104" s="5">
        <v>64000</v>
      </c>
      <c r="O104" s="5"/>
      <c r="P104" s="5"/>
      <c r="Q104" s="5">
        <v>0</v>
      </c>
      <c r="R104" s="5"/>
      <c r="S104" s="5">
        <v>175000</v>
      </c>
      <c r="T104" s="5">
        <v>249127</v>
      </c>
      <c r="U104" s="5">
        <f t="shared" si="47"/>
        <v>552127</v>
      </c>
      <c r="V104" s="7">
        <f>L104-U104</f>
        <v>1047873</v>
      </c>
      <c r="W104" s="8"/>
      <c r="X104" s="9"/>
      <c r="Y104" s="8">
        <f t="shared" si="87"/>
        <v>1047873</v>
      </c>
    </row>
    <row r="105" spans="1:25" ht="23.25" customHeight="1" x14ac:dyDescent="0.25">
      <c r="A105" s="103"/>
      <c r="B105" s="14">
        <v>58</v>
      </c>
      <c r="C105" s="11" t="s">
        <v>132</v>
      </c>
      <c r="D105" s="6" t="s">
        <v>27</v>
      </c>
      <c r="E105" s="5">
        <v>1500000</v>
      </c>
      <c r="F105" s="12">
        <v>30</v>
      </c>
      <c r="G105" s="5">
        <f t="shared" si="54"/>
        <v>1500000</v>
      </c>
      <c r="H105" s="5">
        <v>0</v>
      </c>
      <c r="I105" s="5"/>
      <c r="J105" s="5"/>
      <c r="K105" s="5"/>
      <c r="L105" s="5">
        <f t="shared" si="85"/>
        <v>1500000</v>
      </c>
      <c r="M105" s="5">
        <f>+G105*4%</f>
        <v>60000</v>
      </c>
      <c r="N105" s="5">
        <f>+G105*4%</f>
        <v>60000</v>
      </c>
      <c r="O105" s="5"/>
      <c r="P105" s="5"/>
      <c r="Q105" s="5">
        <v>0</v>
      </c>
      <c r="R105" s="5"/>
      <c r="S105" s="5"/>
      <c r="T105" s="5"/>
      <c r="U105" s="5">
        <f t="shared" si="47"/>
        <v>120000</v>
      </c>
      <c r="V105" s="7">
        <f t="shared" ref="V105:V109" si="96">+L105-U105</f>
        <v>1380000</v>
      </c>
      <c r="W105" s="8"/>
      <c r="X105" s="9"/>
      <c r="Y105" s="8">
        <f t="shared" si="87"/>
        <v>1380000</v>
      </c>
    </row>
    <row r="106" spans="1:25" ht="24" x14ac:dyDescent="0.25">
      <c r="A106" s="103"/>
      <c r="B106" s="14">
        <v>59</v>
      </c>
      <c r="C106" s="11" t="s">
        <v>134</v>
      </c>
      <c r="D106" s="6" t="s">
        <v>27</v>
      </c>
      <c r="E106" s="5">
        <v>1800000</v>
      </c>
      <c r="F106" s="12">
        <v>23</v>
      </c>
      <c r="G106" s="5">
        <f t="shared" si="54"/>
        <v>1380000</v>
      </c>
      <c r="H106" s="5"/>
      <c r="I106" s="5"/>
      <c r="J106" s="5"/>
      <c r="K106" s="21">
        <f>+E106-G106</f>
        <v>420000</v>
      </c>
      <c r="L106" s="5">
        <f t="shared" ref="L106:L107" si="97">SUM(G106:J106)+K106</f>
        <v>1800000</v>
      </c>
      <c r="M106" s="5">
        <f>+E106*4%</f>
        <v>72000</v>
      </c>
      <c r="N106" s="5">
        <f>+E106*4%</f>
        <v>72000</v>
      </c>
      <c r="O106" s="5"/>
      <c r="P106" s="5"/>
      <c r="Q106" s="5">
        <v>0</v>
      </c>
      <c r="R106" s="5"/>
      <c r="S106" s="5"/>
      <c r="T106" s="5"/>
      <c r="U106" s="5">
        <f t="shared" si="47"/>
        <v>144000</v>
      </c>
      <c r="V106" s="7">
        <f t="shared" si="96"/>
        <v>1656000</v>
      </c>
      <c r="W106" s="8"/>
      <c r="X106" s="9"/>
      <c r="Y106" s="8">
        <f t="shared" si="87"/>
        <v>1656000</v>
      </c>
    </row>
    <row r="107" spans="1:25" ht="18.75" customHeight="1" x14ac:dyDescent="0.25">
      <c r="A107" s="103"/>
      <c r="B107" s="14">
        <v>60</v>
      </c>
      <c r="C107" s="11" t="s">
        <v>179</v>
      </c>
      <c r="D107" s="6"/>
      <c r="E107" s="5">
        <v>737717</v>
      </c>
      <c r="F107" s="12">
        <v>30</v>
      </c>
      <c r="G107" s="5">
        <f t="shared" si="54"/>
        <v>737717</v>
      </c>
      <c r="H107" s="5"/>
      <c r="I107" s="5"/>
      <c r="J107" s="5">
        <v>70000</v>
      </c>
      <c r="K107" s="21"/>
      <c r="L107" s="5">
        <f t="shared" si="97"/>
        <v>807717</v>
      </c>
      <c r="M107" s="5"/>
      <c r="N107" s="5"/>
      <c r="O107" s="5"/>
      <c r="P107" s="5"/>
      <c r="Q107" s="5"/>
      <c r="R107" s="5"/>
      <c r="S107" s="5"/>
      <c r="T107" s="5"/>
      <c r="U107" s="5">
        <f t="shared" si="47"/>
        <v>0</v>
      </c>
      <c r="V107" s="7">
        <f t="shared" si="96"/>
        <v>807717</v>
      </c>
      <c r="W107" s="8"/>
      <c r="X107" s="9"/>
      <c r="Y107" s="8">
        <f t="shared" si="87"/>
        <v>807717</v>
      </c>
    </row>
    <row r="108" spans="1:25" ht="18.75" customHeight="1" x14ac:dyDescent="0.25">
      <c r="A108" s="103"/>
      <c r="B108" s="14">
        <v>61</v>
      </c>
      <c r="C108" s="11" t="s">
        <v>135</v>
      </c>
      <c r="D108" s="6" t="s">
        <v>27</v>
      </c>
      <c r="E108" s="5">
        <v>2700000</v>
      </c>
      <c r="F108" s="12">
        <v>30</v>
      </c>
      <c r="G108" s="5">
        <f t="shared" si="54"/>
        <v>2700000</v>
      </c>
      <c r="H108" s="5"/>
      <c r="I108" s="5">
        <v>114583</v>
      </c>
      <c r="J108" s="5"/>
      <c r="K108" s="5"/>
      <c r="L108" s="5">
        <f>SUM(G108:J108)+K108</f>
        <v>2814583</v>
      </c>
      <c r="M108" s="5">
        <f>+E108*0.04</f>
        <v>108000</v>
      </c>
      <c r="N108" s="5">
        <v>108000</v>
      </c>
      <c r="O108" s="5"/>
      <c r="P108" s="5"/>
      <c r="Q108" s="5"/>
      <c r="R108" s="5"/>
      <c r="S108" s="5"/>
      <c r="T108" s="5"/>
      <c r="U108" s="5">
        <f t="shared" si="47"/>
        <v>216000</v>
      </c>
      <c r="V108" s="7">
        <f t="shared" si="96"/>
        <v>2598583</v>
      </c>
      <c r="W108" s="8"/>
      <c r="X108" s="9"/>
      <c r="Y108" s="8">
        <f t="shared" si="87"/>
        <v>2598583</v>
      </c>
    </row>
    <row r="109" spans="1:25" ht="23.25" customHeight="1" x14ac:dyDescent="0.25">
      <c r="A109" s="103"/>
      <c r="B109" s="14">
        <v>62</v>
      </c>
      <c r="C109" s="11" t="s">
        <v>137</v>
      </c>
      <c r="D109" s="6"/>
      <c r="E109" s="5">
        <v>2000000</v>
      </c>
      <c r="F109" s="12">
        <v>30</v>
      </c>
      <c r="G109" s="5">
        <f t="shared" si="54"/>
        <v>2000000.0000000002</v>
      </c>
      <c r="H109" s="5"/>
      <c r="I109" s="5"/>
      <c r="J109" s="5"/>
      <c r="K109" s="22"/>
      <c r="L109" s="5">
        <f t="shared" ref="L109:L111" si="98">SUM(G109:J109)+K109</f>
        <v>2000000.0000000002</v>
      </c>
      <c r="M109" s="5">
        <f>+G109*4%</f>
        <v>80000.000000000015</v>
      </c>
      <c r="N109" s="5">
        <f>+G109*4%</f>
        <v>80000.000000000015</v>
      </c>
      <c r="O109" s="5"/>
      <c r="P109" s="5"/>
      <c r="Q109" s="5">
        <v>0</v>
      </c>
      <c r="R109" s="5"/>
      <c r="S109" s="5"/>
      <c r="T109" s="5"/>
      <c r="U109" s="5">
        <f t="shared" ref="U109:U111" si="99">SUM(M109:T109)</f>
        <v>160000.00000000003</v>
      </c>
      <c r="V109" s="7">
        <f t="shared" si="96"/>
        <v>1840000.0000000002</v>
      </c>
      <c r="W109" s="8"/>
      <c r="X109" s="9"/>
      <c r="Y109" s="8">
        <f t="shared" si="87"/>
        <v>1840000.0000000002</v>
      </c>
    </row>
    <row r="110" spans="1:25" ht="18.75" customHeight="1" x14ac:dyDescent="0.25">
      <c r="A110" s="103"/>
      <c r="B110" s="14">
        <v>63</v>
      </c>
      <c r="C110" s="11" t="s">
        <v>160</v>
      </c>
      <c r="D110" s="6"/>
      <c r="E110" s="5">
        <v>737717</v>
      </c>
      <c r="F110" s="12">
        <v>30</v>
      </c>
      <c r="G110" s="5">
        <f>+E110</f>
        <v>737717</v>
      </c>
      <c r="H110" s="5"/>
      <c r="I110" s="5"/>
      <c r="J110" s="5"/>
      <c r="K110" s="22"/>
      <c r="L110" s="5">
        <f t="shared" si="98"/>
        <v>737717</v>
      </c>
      <c r="M110" s="5"/>
      <c r="N110" s="5"/>
      <c r="O110" s="5"/>
      <c r="P110" s="5"/>
      <c r="Q110" s="5"/>
      <c r="R110" s="5"/>
      <c r="S110" s="5"/>
      <c r="T110" s="5"/>
      <c r="U110" s="5">
        <f>SUM(M110:T110)</f>
        <v>0</v>
      </c>
      <c r="V110" s="7">
        <f>+L110-U110</f>
        <v>737717</v>
      </c>
      <c r="W110" s="8"/>
      <c r="X110" s="9"/>
      <c r="Y110" s="8">
        <f t="shared" si="87"/>
        <v>737717</v>
      </c>
    </row>
    <row r="111" spans="1:25" ht="23.25" customHeight="1" x14ac:dyDescent="0.25">
      <c r="A111" s="75"/>
      <c r="B111" s="14">
        <v>64</v>
      </c>
      <c r="C111" s="11" t="s">
        <v>186</v>
      </c>
      <c r="D111" s="6"/>
      <c r="E111" s="5">
        <v>1200000</v>
      </c>
      <c r="F111" s="12">
        <v>30</v>
      </c>
      <c r="G111" s="5">
        <f t="shared" ref="G111" si="100">E111/30*F111</f>
        <v>1200000</v>
      </c>
      <c r="H111" s="5">
        <f t="shared" ref="H111" si="101">+(83140/30)*F111</f>
        <v>83140</v>
      </c>
      <c r="I111" s="5"/>
      <c r="J111" s="5"/>
      <c r="K111" s="22"/>
      <c r="L111" s="5">
        <f t="shared" si="98"/>
        <v>1283140</v>
      </c>
      <c r="M111" s="5">
        <f>+G111*4%</f>
        <v>48000</v>
      </c>
      <c r="N111" s="5">
        <f t="shared" ref="N111" si="102">+G111*4%</f>
        <v>48000</v>
      </c>
      <c r="O111" s="5"/>
      <c r="P111" s="5"/>
      <c r="Q111" s="5">
        <v>0</v>
      </c>
      <c r="R111" s="5"/>
      <c r="S111" s="5"/>
      <c r="T111" s="5"/>
      <c r="U111" s="5">
        <f t="shared" si="99"/>
        <v>96000</v>
      </c>
      <c r="V111" s="7">
        <f t="shared" ref="V111" si="103">+L111-U111</f>
        <v>1187140</v>
      </c>
      <c r="W111" s="8"/>
      <c r="X111" s="9"/>
      <c r="Y111" s="8">
        <f t="shared" si="87"/>
        <v>1187140</v>
      </c>
    </row>
    <row r="112" spans="1:25" x14ac:dyDescent="0.25">
      <c r="A112" s="13"/>
      <c r="B112" s="13"/>
      <c r="C112" s="23" t="s">
        <v>140</v>
      </c>
      <c r="D112" s="13"/>
      <c r="E112" s="18">
        <f>SUM(E4:E111)</f>
        <v>385400630</v>
      </c>
      <c r="F112" s="18" t="s">
        <v>1</v>
      </c>
      <c r="G112" s="8">
        <f>SUM(G4:G111)</f>
        <v>347202116.10000014</v>
      </c>
      <c r="H112" s="8">
        <f>SUM(H4:H111)</f>
        <v>1327239</v>
      </c>
      <c r="I112" s="8"/>
      <c r="J112" s="8">
        <f>SUM(J4:J111)</f>
        <v>14179698</v>
      </c>
      <c r="K112" s="8">
        <f t="shared" ref="K112:X112" si="104">SUM(K4:K111)</f>
        <v>34427401.566666663</v>
      </c>
      <c r="L112" s="8">
        <f>SUM(L4:L111)</f>
        <v>400211891.66666669</v>
      </c>
      <c r="M112" s="8">
        <f>SUM(M4:M111)</f>
        <v>15165775.49333333</v>
      </c>
      <c r="N112" s="8">
        <f>SUM(N4:N111)</f>
        <v>18460889.519999996</v>
      </c>
      <c r="O112" s="8">
        <f>SUM(O4:O111)</f>
        <v>102400</v>
      </c>
      <c r="P112" s="8">
        <f t="shared" si="104"/>
        <v>0</v>
      </c>
      <c r="Q112" s="8">
        <f t="shared" si="104"/>
        <v>4843503</v>
      </c>
      <c r="R112" s="8">
        <f t="shared" si="104"/>
        <v>10015000</v>
      </c>
      <c r="S112" s="8">
        <f t="shared" si="104"/>
        <v>519614</v>
      </c>
      <c r="T112" s="8">
        <f>SUM(T4:T111)</f>
        <v>16283597</v>
      </c>
      <c r="U112" s="8">
        <f t="shared" si="104"/>
        <v>65390780.933333337</v>
      </c>
      <c r="V112" s="8">
        <f>SUM(V4:V111)</f>
        <v>334821110.73333329</v>
      </c>
      <c r="W112" s="8">
        <f t="shared" si="104"/>
        <v>0</v>
      </c>
      <c r="X112" s="8">
        <f t="shared" si="104"/>
        <v>0</v>
      </c>
      <c r="Y112" s="8">
        <f>SUM(Y4:Y111)</f>
        <v>334821110.73333329</v>
      </c>
    </row>
    <row r="113" spans="2:29" x14ac:dyDescent="0.25">
      <c r="E113" s="26"/>
      <c r="F113" s="26"/>
      <c r="G113" s="26"/>
      <c r="V113" s="20"/>
      <c r="W113" s="20"/>
      <c r="Y113" s="20"/>
    </row>
    <row r="114" spans="2:29" x14ac:dyDescent="0.25">
      <c r="D114" s="25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9"/>
      <c r="W114" s="25"/>
      <c r="X114" s="30"/>
      <c r="Y114" s="29"/>
    </row>
    <row r="115" spans="2:29" x14ac:dyDescent="0.25">
      <c r="D115" s="25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S115" s="26" t="s">
        <v>198</v>
      </c>
      <c r="T115" s="26">
        <v>11699252</v>
      </c>
      <c r="U115" s="26"/>
      <c r="V115" s="29"/>
      <c r="W115" s="25"/>
      <c r="X115" s="30"/>
      <c r="Y115" s="29"/>
    </row>
    <row r="116" spans="2:29" x14ac:dyDescent="0.25">
      <c r="C116" s="31"/>
      <c r="D116" s="25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S116" s="26" t="s">
        <v>199</v>
      </c>
      <c r="T116" s="26">
        <f>+T112-T115</f>
        <v>4584345</v>
      </c>
      <c r="U116" s="26"/>
      <c r="V116" s="25"/>
      <c r="W116" s="25"/>
      <c r="X116" s="30"/>
      <c r="Y116" s="29"/>
    </row>
    <row r="117" spans="2:29" x14ac:dyDescent="0.25">
      <c r="C117" s="31"/>
      <c r="D117" s="25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>
        <f>+T115+T116</f>
        <v>16283597</v>
      </c>
      <c r="U117" s="26"/>
      <c r="V117" s="25"/>
      <c r="W117" s="25"/>
      <c r="X117" s="30"/>
      <c r="Y117" s="25"/>
      <c r="Z117" s="25"/>
      <c r="AA117" s="25"/>
      <c r="AB117" s="25"/>
      <c r="AC117" s="25"/>
    </row>
    <row r="118" spans="2:29" x14ac:dyDescent="0.25">
      <c r="B118" s="25"/>
      <c r="C118" s="31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6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25"/>
      <c r="AA118" s="25"/>
      <c r="AB118" s="25"/>
      <c r="AC118" s="25"/>
    </row>
    <row r="119" spans="2:29" x14ac:dyDescent="0.25">
      <c r="B119" s="25"/>
      <c r="C119" s="31"/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5"/>
      <c r="W119" s="25"/>
      <c r="X119" s="30"/>
      <c r="Y119" s="25"/>
      <c r="Z119" s="25"/>
      <c r="AA119" s="25"/>
      <c r="AB119" s="25"/>
      <c r="AC119" s="25"/>
    </row>
    <row r="120" spans="2:29" x14ac:dyDescent="0.25">
      <c r="B120" s="25"/>
      <c r="C120" s="31"/>
      <c r="D120" s="25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5"/>
      <c r="W120" s="25"/>
      <c r="X120" s="30"/>
      <c r="Y120" s="25"/>
      <c r="Z120" s="25"/>
      <c r="AA120" s="25"/>
      <c r="AB120" s="25"/>
      <c r="AC120" s="25"/>
    </row>
    <row r="121" spans="2:29" x14ac:dyDescent="0.25">
      <c r="B121" s="25"/>
      <c r="C121" s="31"/>
      <c r="D121" s="25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5"/>
      <c r="W121" s="25"/>
      <c r="X121" s="30"/>
      <c r="Y121" s="25"/>
      <c r="Z121" s="25"/>
      <c r="AA121" s="25"/>
      <c r="AB121" s="25"/>
      <c r="AC121" s="25"/>
    </row>
    <row r="122" spans="2:29" x14ac:dyDescent="0.25">
      <c r="B122" s="25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4"/>
      <c r="X122" s="35"/>
      <c r="Y122" s="34"/>
      <c r="Z122" s="25"/>
      <c r="AA122" s="25"/>
      <c r="AB122" s="25"/>
      <c r="AC122" s="25"/>
    </row>
    <row r="123" spans="2:29" x14ac:dyDescent="0.25">
      <c r="B123" s="36"/>
      <c r="C123" s="31"/>
      <c r="D123" s="34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4"/>
      <c r="W123" s="34"/>
      <c r="X123" s="35"/>
      <c r="Y123" s="34"/>
      <c r="Z123" s="25"/>
      <c r="AA123" s="25"/>
      <c r="AB123" s="25"/>
      <c r="AC123" s="25"/>
    </row>
    <row r="124" spans="2:29" x14ac:dyDescent="0.25">
      <c r="B124" s="25"/>
      <c r="C124" s="31"/>
      <c r="D124" s="25"/>
      <c r="E124" s="26"/>
      <c r="F124" s="26"/>
      <c r="G124" s="38"/>
      <c r="H124" s="26"/>
      <c r="I124" s="26"/>
      <c r="J124" s="26"/>
      <c r="K124" s="26"/>
      <c r="L124" s="26"/>
      <c r="M124" s="26"/>
      <c r="N124" s="26"/>
      <c r="O124" s="39"/>
      <c r="P124" s="39"/>
      <c r="Q124" s="39"/>
      <c r="R124" s="39"/>
      <c r="S124" s="39"/>
      <c r="T124" s="26"/>
      <c r="U124" s="26"/>
      <c r="V124" s="25"/>
      <c r="W124" s="25"/>
      <c r="X124" s="30"/>
      <c r="Y124" s="25"/>
      <c r="Z124" s="25"/>
      <c r="AA124" s="25"/>
      <c r="AB124" s="25"/>
      <c r="AC124" s="25"/>
    </row>
    <row r="125" spans="2:29" x14ac:dyDescent="0.25">
      <c r="B125" s="25"/>
      <c r="C125" s="40"/>
      <c r="D125" s="34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4"/>
      <c r="W125" s="34"/>
      <c r="X125" s="35"/>
      <c r="Y125" s="34"/>
      <c r="Z125" s="25"/>
      <c r="AA125" s="25"/>
      <c r="AB125" s="25"/>
      <c r="AC125" s="25"/>
    </row>
    <row r="126" spans="2:29" x14ac:dyDescent="0.25">
      <c r="B126" s="34"/>
      <c r="C126" s="40"/>
      <c r="D126" s="34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4"/>
      <c r="W126" s="34"/>
      <c r="X126" s="35"/>
      <c r="Y126" s="34"/>
      <c r="Z126" s="25"/>
      <c r="AA126" s="25"/>
      <c r="AB126" s="25"/>
      <c r="AC126" s="25"/>
    </row>
    <row r="127" spans="2:29" x14ac:dyDescent="0.25">
      <c r="B127" s="25"/>
      <c r="C127" s="40"/>
      <c r="D127" s="34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9"/>
      <c r="W127" s="29"/>
      <c r="X127" s="30"/>
      <c r="Y127" s="29"/>
      <c r="Z127" s="25"/>
      <c r="AA127" s="25"/>
      <c r="AB127" s="25"/>
      <c r="AC127" s="25"/>
    </row>
    <row r="128" spans="2:29" x14ac:dyDescent="0.25">
      <c r="C128" s="40"/>
      <c r="D128" s="34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9"/>
      <c r="W128" s="29"/>
      <c r="X128" s="30"/>
      <c r="Y128" s="29"/>
      <c r="Z128" s="25"/>
      <c r="AA128" s="25"/>
      <c r="AB128" s="25"/>
      <c r="AC128" s="25"/>
    </row>
    <row r="129" spans="3:29" x14ac:dyDescent="0.25">
      <c r="C129" s="40"/>
      <c r="D129" s="34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9"/>
      <c r="W129" s="29"/>
      <c r="X129" s="30"/>
      <c r="Y129" s="29"/>
      <c r="Z129" s="25"/>
      <c r="AA129" s="25"/>
      <c r="AB129" s="25"/>
      <c r="AC129" s="25"/>
    </row>
    <row r="130" spans="3:29" x14ac:dyDescent="0.25">
      <c r="C130" s="40"/>
      <c r="D130" s="34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9"/>
      <c r="W130" s="29"/>
      <c r="X130" s="30"/>
      <c r="Y130" s="29"/>
      <c r="Z130" s="25"/>
      <c r="AA130" s="25"/>
      <c r="AB130" s="25"/>
      <c r="AC130" s="25"/>
    </row>
    <row r="131" spans="3:29" x14ac:dyDescent="0.25">
      <c r="C131" s="40"/>
      <c r="D131" s="34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9"/>
      <c r="W131" s="29"/>
      <c r="X131" s="30"/>
      <c r="Y131" s="29"/>
      <c r="Z131" s="25"/>
      <c r="AA131" s="25"/>
      <c r="AB131" s="25"/>
      <c r="AC131" s="25"/>
    </row>
    <row r="132" spans="3:29" x14ac:dyDescent="0.25">
      <c r="C132" s="40"/>
      <c r="D132" s="34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9"/>
      <c r="W132" s="29"/>
      <c r="X132" s="30"/>
      <c r="Y132" s="29"/>
      <c r="Z132" s="25"/>
      <c r="AA132" s="25"/>
      <c r="AB132" s="25"/>
      <c r="AC132" s="25"/>
    </row>
    <row r="133" spans="3:29" x14ac:dyDescent="0.25">
      <c r="C133" s="31"/>
      <c r="D133" s="25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9"/>
      <c r="W133" s="29"/>
      <c r="X133" s="30"/>
      <c r="Y133" s="29"/>
      <c r="Z133" s="25"/>
      <c r="AA133" s="25"/>
      <c r="AB133" s="25"/>
      <c r="AC133" s="25"/>
    </row>
    <row r="134" spans="3:29" x14ac:dyDescent="0.25">
      <c r="C134" s="40"/>
      <c r="D134" s="25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9"/>
      <c r="W134" s="29"/>
      <c r="X134" s="30"/>
      <c r="Y134" s="29"/>
      <c r="Z134" s="25"/>
      <c r="AA134" s="25"/>
      <c r="AB134" s="25"/>
      <c r="AC134" s="25"/>
    </row>
    <row r="135" spans="3:29" x14ac:dyDescent="0.25">
      <c r="C135" s="40"/>
      <c r="D135" s="25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9"/>
      <c r="W135" s="29"/>
      <c r="X135" s="30"/>
      <c r="Y135" s="29"/>
      <c r="Z135" s="25"/>
      <c r="AA135" s="25"/>
      <c r="AB135" s="25"/>
      <c r="AC135" s="25"/>
    </row>
    <row r="136" spans="3:29" x14ac:dyDescent="0.25">
      <c r="C136" s="40"/>
      <c r="D136" s="25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9"/>
      <c r="W136" s="29"/>
      <c r="X136" s="30"/>
      <c r="Y136" s="29"/>
      <c r="Z136" s="25"/>
      <c r="AA136" s="25"/>
      <c r="AB136" s="25"/>
      <c r="AC136" s="25"/>
    </row>
    <row r="137" spans="3:29" x14ac:dyDescent="0.25">
      <c r="C137" s="40"/>
      <c r="D137" s="25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9"/>
      <c r="W137" s="29"/>
      <c r="X137" s="30"/>
      <c r="Y137" s="29"/>
      <c r="Z137" s="25"/>
      <c r="AA137" s="25"/>
      <c r="AB137" s="25"/>
      <c r="AC137" s="25"/>
    </row>
    <row r="138" spans="3:29" x14ac:dyDescent="0.25">
      <c r="C138" s="40"/>
      <c r="D138" s="25"/>
      <c r="E138" s="26"/>
      <c r="F138" s="26"/>
      <c r="G138" s="26"/>
      <c r="H138" s="26"/>
      <c r="I138" s="26"/>
      <c r="J138" s="26"/>
      <c r="K138" s="26"/>
      <c r="L138" s="26">
        <f>737717*4</f>
        <v>2950868</v>
      </c>
      <c r="M138" s="26">
        <f>737717*2</f>
        <v>1475434</v>
      </c>
      <c r="N138" s="26"/>
      <c r="O138" s="26"/>
      <c r="P138" s="26"/>
      <c r="Q138" s="26"/>
      <c r="R138" s="26"/>
      <c r="S138" s="26"/>
      <c r="T138" s="26"/>
      <c r="U138" s="26"/>
      <c r="V138" s="29"/>
      <c r="W138" s="29"/>
      <c r="X138" s="30"/>
      <c r="Y138" s="29"/>
      <c r="Z138" s="25"/>
      <c r="AA138" s="25"/>
      <c r="AB138" s="25"/>
      <c r="AC138" s="25"/>
    </row>
    <row r="139" spans="3:29" x14ac:dyDescent="0.25">
      <c r="C139" s="40"/>
      <c r="D139" s="25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9"/>
      <c r="W139" s="29"/>
      <c r="X139" s="30"/>
      <c r="Y139" s="29"/>
      <c r="Z139" s="25"/>
      <c r="AA139" s="25"/>
      <c r="AB139" s="25"/>
      <c r="AC139" s="25"/>
    </row>
    <row r="140" spans="3:29" x14ac:dyDescent="0.25">
      <c r="C140" s="40"/>
      <c r="D140" s="25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9"/>
      <c r="W140" s="29"/>
      <c r="X140" s="30"/>
      <c r="Y140" s="29"/>
      <c r="Z140" s="25"/>
      <c r="AA140" s="25"/>
      <c r="AB140" s="25"/>
      <c r="AC140" s="25"/>
    </row>
    <row r="141" spans="3:29" x14ac:dyDescent="0.25">
      <c r="C141" s="40"/>
      <c r="D141" s="2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9"/>
      <c r="W141" s="29"/>
      <c r="X141" s="30"/>
      <c r="Y141" s="29"/>
      <c r="Z141" s="25"/>
      <c r="AA141" s="25"/>
      <c r="AB141" s="25"/>
      <c r="AC141" s="25"/>
    </row>
    <row r="142" spans="3:29" x14ac:dyDescent="0.25">
      <c r="C142" s="40"/>
      <c r="D142" s="2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9"/>
      <c r="W142" s="29"/>
      <c r="X142" s="30"/>
      <c r="Y142" s="29"/>
      <c r="Z142" s="25"/>
      <c r="AA142" s="25"/>
      <c r="AB142" s="25"/>
      <c r="AC142" s="25"/>
    </row>
    <row r="143" spans="3:29" x14ac:dyDescent="0.25">
      <c r="C143" s="40"/>
      <c r="D143" s="2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9"/>
      <c r="W143" s="29"/>
      <c r="X143" s="30"/>
      <c r="Y143" s="29"/>
      <c r="Z143" s="25"/>
      <c r="AA143" s="25"/>
      <c r="AB143" s="25"/>
      <c r="AC143" s="25"/>
    </row>
    <row r="144" spans="3:29" x14ac:dyDescent="0.25">
      <c r="C144" s="40"/>
      <c r="D144" s="25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9"/>
      <c r="W144" s="29"/>
      <c r="X144" s="30"/>
      <c r="Y144" s="29"/>
      <c r="Z144" s="25"/>
      <c r="AA144" s="25"/>
      <c r="AB144" s="25"/>
      <c r="AC144" s="25"/>
    </row>
    <row r="145" spans="2:29" x14ac:dyDescent="0.25">
      <c r="C145" s="31"/>
      <c r="D145" s="25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5"/>
      <c r="W145" s="25"/>
      <c r="X145" s="30"/>
      <c r="Y145" s="25"/>
      <c r="Z145" s="25"/>
      <c r="AA145" s="25"/>
      <c r="AB145" s="25"/>
      <c r="AC145" s="25"/>
    </row>
    <row r="146" spans="2:29" x14ac:dyDescent="0.25">
      <c r="C146" s="31"/>
      <c r="D146" s="2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25"/>
      <c r="T146" s="26"/>
      <c r="U146" s="26"/>
      <c r="V146" s="25"/>
      <c r="W146" s="25"/>
      <c r="X146" s="30"/>
      <c r="Y146" s="25"/>
      <c r="Z146" s="25"/>
      <c r="AA146" s="25"/>
      <c r="AB146" s="25"/>
      <c r="AC146" s="25"/>
    </row>
    <row r="147" spans="2:29" x14ac:dyDescent="0.25">
      <c r="B147" s="25"/>
      <c r="C147" s="31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25"/>
      <c r="AA147" s="25"/>
      <c r="AB147" s="25"/>
      <c r="AC147" s="25"/>
    </row>
    <row r="148" spans="2:29" x14ac:dyDescent="0.25">
      <c r="B148" s="25"/>
      <c r="C148" s="31"/>
      <c r="D148" s="25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4"/>
      <c r="W148" s="34"/>
      <c r="X148" s="35"/>
      <c r="Y148" s="34"/>
      <c r="Z148" s="25"/>
      <c r="AA148" s="25"/>
      <c r="AB148" s="25"/>
      <c r="AC148" s="25"/>
    </row>
    <row r="149" spans="2:29" x14ac:dyDescent="0.25">
      <c r="B149" s="25"/>
      <c r="C149" s="40"/>
      <c r="D149" s="34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4"/>
      <c r="W149" s="34"/>
      <c r="X149" s="35"/>
      <c r="Y149" s="34"/>
    </row>
    <row r="150" spans="2:29" x14ac:dyDescent="0.25">
      <c r="B150" s="41"/>
      <c r="C150" s="40"/>
      <c r="D150" s="34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4"/>
      <c r="W150" s="34"/>
      <c r="X150" s="35"/>
      <c r="Y150" s="34"/>
    </row>
    <row r="151" spans="2:29" x14ac:dyDescent="0.25">
      <c r="C151" s="40"/>
      <c r="D151" s="34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9"/>
      <c r="W151" s="29"/>
      <c r="X151" s="30"/>
      <c r="Y151" s="29"/>
    </row>
    <row r="152" spans="2:29" x14ac:dyDescent="0.25">
      <c r="C152" s="40"/>
      <c r="D152" s="34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9"/>
      <c r="W152" s="29"/>
      <c r="X152" s="30"/>
      <c r="Y152" s="29"/>
    </row>
    <row r="153" spans="2:29" x14ac:dyDescent="0.25">
      <c r="C153" s="40"/>
      <c r="D153" s="34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9"/>
      <c r="W153" s="29"/>
      <c r="X153" s="30"/>
      <c r="Y153" s="29"/>
    </row>
    <row r="154" spans="2:29" x14ac:dyDescent="0.25">
      <c r="C154" s="31"/>
      <c r="D154" s="25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9"/>
      <c r="W154" s="29"/>
      <c r="X154" s="30"/>
      <c r="Y154" s="29"/>
    </row>
    <row r="155" spans="2:29" x14ac:dyDescent="0.25">
      <c r="C155" s="40"/>
      <c r="D155" s="25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9"/>
      <c r="W155" s="29"/>
      <c r="X155" s="30"/>
      <c r="Y155" s="29"/>
    </row>
    <row r="156" spans="2:29" x14ac:dyDescent="0.25">
      <c r="C156" s="31"/>
      <c r="D156" s="25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5"/>
      <c r="W156" s="25"/>
      <c r="X156" s="30"/>
      <c r="Y156" s="25"/>
    </row>
    <row r="157" spans="2:29" x14ac:dyDescent="0.25">
      <c r="C157" s="31"/>
      <c r="D157" s="25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9"/>
      <c r="W157" s="29"/>
      <c r="X157" s="30"/>
      <c r="Y157" s="29"/>
    </row>
    <row r="158" spans="2:29" x14ac:dyDescent="0.25">
      <c r="B158" s="25"/>
      <c r="C158" s="31"/>
      <c r="D158" s="25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5"/>
      <c r="W158" s="25"/>
      <c r="X158" s="30"/>
      <c r="Y158" s="25"/>
    </row>
    <row r="159" spans="2:29" x14ac:dyDescent="0.25">
      <c r="B159" s="25"/>
      <c r="C159" s="31"/>
      <c r="D159" s="25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5"/>
      <c r="W159" s="25"/>
      <c r="X159" s="30"/>
      <c r="Y159" s="25"/>
    </row>
    <row r="160" spans="2:29" x14ac:dyDescent="0.25">
      <c r="B160" s="25"/>
      <c r="C160" s="31"/>
      <c r="D160" s="25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42"/>
      <c r="W160" s="42"/>
      <c r="X160" s="30"/>
      <c r="Y160" s="42"/>
    </row>
    <row r="161" spans="2:25" x14ac:dyDescent="0.25">
      <c r="B161" s="25"/>
      <c r="C161" s="31"/>
      <c r="D161" s="25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43"/>
      <c r="W161" s="43"/>
      <c r="X161" s="30"/>
      <c r="Y161" s="43"/>
    </row>
    <row r="162" spans="2:25" x14ac:dyDescent="0.25">
      <c r="C162" s="31"/>
      <c r="D162" s="25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5"/>
      <c r="W162" s="25"/>
      <c r="X162" s="30"/>
      <c r="Y162" s="25"/>
    </row>
    <row r="163" spans="2:25" x14ac:dyDescent="0.25">
      <c r="C163" s="31"/>
      <c r="D163" s="25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5"/>
      <c r="W163" s="25"/>
      <c r="X163" s="30"/>
      <c r="Y163" s="25"/>
    </row>
    <row r="164" spans="2:25" x14ac:dyDescent="0.25">
      <c r="C164" s="31"/>
      <c r="D164" s="25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5"/>
      <c r="W164" s="25"/>
      <c r="X164" s="30"/>
      <c r="Y164" s="25"/>
    </row>
    <row r="165" spans="2:25" x14ac:dyDescent="0.25">
      <c r="C165" s="31"/>
      <c r="D165" s="25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5"/>
      <c r="W165" s="25"/>
      <c r="X165" s="30"/>
      <c r="Y165" s="25"/>
    </row>
    <row r="166" spans="2:25" x14ac:dyDescent="0.25">
      <c r="C166" s="31"/>
      <c r="D166" s="25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5"/>
      <c r="W166" s="25"/>
      <c r="X166" s="30"/>
      <c r="Y166" s="25"/>
    </row>
    <row r="167" spans="2:25" x14ac:dyDescent="0.25">
      <c r="C167" s="31"/>
      <c r="D167" s="25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5"/>
      <c r="W167" s="25"/>
      <c r="X167" s="30"/>
      <c r="Y167" s="25"/>
    </row>
    <row r="168" spans="2:25" x14ac:dyDescent="0.25">
      <c r="C168" s="31"/>
      <c r="D168" s="25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5"/>
      <c r="W168" s="25"/>
      <c r="X168" s="30"/>
      <c r="Y168" s="25"/>
    </row>
    <row r="169" spans="2:25" x14ac:dyDescent="0.25">
      <c r="C169" s="31"/>
      <c r="D169" s="25"/>
      <c r="E169" s="26"/>
      <c r="F169" s="26"/>
      <c r="G169" s="26"/>
      <c r="H169" s="26"/>
      <c r="I169" s="26"/>
      <c r="J169" s="26"/>
      <c r="K169" s="26"/>
      <c r="L169" s="26"/>
      <c r="M169" s="26">
        <v>3003000</v>
      </c>
      <c r="N169" s="26"/>
      <c r="O169" s="26"/>
      <c r="P169" s="26"/>
      <c r="Q169" s="26"/>
      <c r="R169" s="26"/>
      <c r="S169" s="26"/>
      <c r="T169" s="26"/>
      <c r="U169" s="26"/>
      <c r="V169" s="25"/>
      <c r="W169" s="25"/>
      <c r="X169" s="30"/>
      <c r="Y169" s="25"/>
    </row>
    <row r="170" spans="2:25" x14ac:dyDescent="0.25">
      <c r="C170" s="40"/>
      <c r="D170" s="25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5"/>
      <c r="W170" s="25"/>
      <c r="X170" s="30"/>
      <c r="Y170" s="25"/>
    </row>
    <row r="171" spans="2:25" x14ac:dyDescent="0.25">
      <c r="C171" s="40"/>
      <c r="D171" s="25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5"/>
      <c r="W171" s="25"/>
      <c r="X171" s="30"/>
      <c r="Y171" s="25"/>
    </row>
    <row r="172" spans="2:25" x14ac:dyDescent="0.25">
      <c r="C172" s="40"/>
      <c r="D172" s="25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5"/>
      <c r="W172" s="25"/>
      <c r="X172" s="30"/>
      <c r="Y172" s="25"/>
    </row>
    <row r="173" spans="2:25" x14ac:dyDescent="0.25">
      <c r="C173" s="40"/>
      <c r="D173" s="25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5"/>
      <c r="W173" s="25"/>
      <c r="X173" s="30"/>
      <c r="Y173" s="25"/>
    </row>
    <row r="174" spans="2:25" x14ac:dyDescent="0.25">
      <c r="C174" s="31">
        <v>42614840</v>
      </c>
      <c r="D174" s="25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>
        <v>412608</v>
      </c>
      <c r="V174" s="25"/>
      <c r="W174" s="25"/>
      <c r="X174" s="30"/>
      <c r="Y174" s="25"/>
    </row>
    <row r="175" spans="2:25" x14ac:dyDescent="0.25">
      <c r="C175" s="31">
        <v>9675182</v>
      </c>
      <c r="D175" s="25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>
        <v>1880000</v>
      </c>
      <c r="V175" s="25"/>
      <c r="W175" s="25"/>
      <c r="X175" s="30"/>
      <c r="Y175" s="25"/>
    </row>
    <row r="176" spans="2:25" x14ac:dyDescent="0.25">
      <c r="C176" s="31">
        <v>17903600</v>
      </c>
      <c r="D176" s="25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5"/>
      <c r="W176" s="25"/>
      <c r="X176" s="30"/>
      <c r="Y176" s="25"/>
    </row>
    <row r="177" spans="3:25" x14ac:dyDescent="0.25">
      <c r="C177" s="31">
        <f>SUM(C174:C176)</f>
        <v>70193622</v>
      </c>
      <c r="D177" s="25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5"/>
      <c r="W177" s="25"/>
      <c r="X177" s="30"/>
      <c r="Y177" s="25"/>
    </row>
    <row r="178" spans="3:25" x14ac:dyDescent="0.25">
      <c r="C178" s="31">
        <v>400000</v>
      </c>
      <c r="D178" s="25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5"/>
      <c r="W178" s="25"/>
      <c r="X178" s="30"/>
      <c r="Y178" s="25"/>
    </row>
    <row r="179" spans="3:25" x14ac:dyDescent="0.25">
      <c r="C179" s="31">
        <f>+C177+C178</f>
        <v>70593622</v>
      </c>
      <c r="D179" s="25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5"/>
      <c r="W179" s="25"/>
      <c r="X179" s="30"/>
      <c r="Y179" s="25"/>
    </row>
    <row r="183" spans="3:25" x14ac:dyDescent="0.25">
      <c r="C183" s="24">
        <v>11000000</v>
      </c>
    </row>
    <row r="184" spans="3:25" x14ac:dyDescent="0.25">
      <c r="C184" s="24">
        <f>+C182+C183</f>
        <v>11000000</v>
      </c>
    </row>
    <row r="189" spans="3:25" x14ac:dyDescent="0.25">
      <c r="C189" s="24">
        <v>3185000</v>
      </c>
    </row>
    <row r="190" spans="3:25" x14ac:dyDescent="0.25">
      <c r="C190" s="24">
        <v>1080000</v>
      </c>
    </row>
    <row r="191" spans="3:25" x14ac:dyDescent="0.25">
      <c r="C191" s="24">
        <v>4850100</v>
      </c>
    </row>
    <row r="192" spans="3:25" x14ac:dyDescent="0.25">
      <c r="C192" s="24">
        <v>5027500</v>
      </c>
    </row>
    <row r="193" spans="3:3" x14ac:dyDescent="0.25">
      <c r="C193" s="24">
        <v>4566000</v>
      </c>
    </row>
    <row r="194" spans="3:3" x14ac:dyDescent="0.25">
      <c r="C194" s="24">
        <v>1050000</v>
      </c>
    </row>
    <row r="195" spans="3:3" x14ac:dyDescent="0.25">
      <c r="C195" s="24">
        <v>3877333</v>
      </c>
    </row>
    <row r="196" spans="3:3" x14ac:dyDescent="0.25">
      <c r="C196" s="24">
        <v>6732440</v>
      </c>
    </row>
    <row r="197" spans="3:3" x14ac:dyDescent="0.25">
      <c r="C197" s="24">
        <v>3460000</v>
      </c>
    </row>
    <row r="198" spans="3:3" x14ac:dyDescent="0.25">
      <c r="C198" s="24">
        <v>588800</v>
      </c>
    </row>
    <row r="199" spans="3:3" x14ac:dyDescent="0.25">
      <c r="C199" s="24">
        <v>1868000</v>
      </c>
    </row>
    <row r="200" spans="3:3" x14ac:dyDescent="0.25">
      <c r="C200" s="24">
        <v>10313000</v>
      </c>
    </row>
    <row r="201" spans="3:3" x14ac:dyDescent="0.25">
      <c r="C201" s="24">
        <v>3443800</v>
      </c>
    </row>
    <row r="202" spans="3:3" x14ac:dyDescent="0.25">
      <c r="C202" s="24">
        <v>8136400</v>
      </c>
    </row>
    <row r="203" spans="3:3" x14ac:dyDescent="0.25">
      <c r="C203" s="24">
        <v>9675183</v>
      </c>
    </row>
    <row r="204" spans="3:3" x14ac:dyDescent="0.25">
      <c r="C204" s="24">
        <f>SUM(C188:C203)</f>
        <v>67853556</v>
      </c>
    </row>
  </sheetData>
  <mergeCells count="7">
    <mergeCell ref="D147:Y147"/>
    <mergeCell ref="C1:V1"/>
    <mergeCell ref="E2:L2"/>
    <mergeCell ref="M2:U2"/>
    <mergeCell ref="A3:A47"/>
    <mergeCell ref="A48:A110"/>
    <mergeCell ref="E146:R14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8EE3-31D4-434B-8960-DB133DE52721}">
  <dimension ref="A1:AB208"/>
  <sheetViews>
    <sheetView workbookViewId="0">
      <selection activeCell="I18" sqref="I18"/>
    </sheetView>
  </sheetViews>
  <sheetFormatPr baseColWidth="10" defaultRowHeight="12" x14ac:dyDescent="0.25"/>
  <cols>
    <col min="1" max="1" width="10.42578125" style="45" customWidth="1"/>
    <col min="2" max="2" width="4.85546875" style="45" customWidth="1"/>
    <col min="3" max="3" width="32.7109375" style="52" customWidth="1"/>
    <col min="4" max="4" width="8.5703125" style="45" customWidth="1"/>
    <col min="5" max="5" width="10.85546875" style="47" customWidth="1"/>
    <col min="6" max="6" width="4.42578125" style="47" customWidth="1"/>
    <col min="7" max="7" width="11.28515625" style="47" customWidth="1"/>
    <col min="8" max="8" width="9" style="47" customWidth="1"/>
    <col min="9" max="9" width="10.42578125" style="47" customWidth="1"/>
    <col min="10" max="10" width="9.85546875" style="47" customWidth="1"/>
    <col min="11" max="11" width="11.7109375" style="47" customWidth="1"/>
    <col min="12" max="12" width="9.85546875" style="47" customWidth="1"/>
    <col min="13" max="13" width="10.140625" style="47" customWidth="1"/>
    <col min="14" max="14" width="8.7109375" style="47" customWidth="1"/>
    <col min="15" max="15" width="10.42578125" style="47" customWidth="1"/>
    <col min="16" max="16" width="9.5703125" style="47" customWidth="1"/>
    <col min="17" max="17" width="9" style="47" customWidth="1"/>
    <col min="18" max="18" width="9.42578125" style="47" customWidth="1"/>
    <col min="19" max="19" width="9.85546875" style="47" customWidth="1"/>
    <col min="20" max="20" width="10.42578125" style="47" customWidth="1"/>
    <col min="21" max="21" width="13.42578125" style="45" customWidth="1"/>
    <col min="22" max="22" width="4.42578125" style="45" customWidth="1"/>
    <col min="23" max="23" width="7.28515625" style="56" customWidth="1"/>
    <col min="24" max="24" width="14.28515625" style="45" customWidth="1"/>
    <col min="25" max="246" width="11.42578125" style="45"/>
    <col min="247" max="247" width="10.5703125" style="45" customWidth="1"/>
    <col min="248" max="248" width="4.85546875" style="45" customWidth="1"/>
    <col min="249" max="249" width="32.42578125" style="45" customWidth="1"/>
    <col min="250" max="250" width="9.85546875" style="45" customWidth="1"/>
    <col min="251" max="251" width="10.140625" style="45" customWidth="1"/>
    <col min="252" max="252" width="12.28515625" style="45" customWidth="1"/>
    <col min="253" max="253" width="15.42578125" style="45" customWidth="1"/>
    <col min="254" max="254" width="11.85546875" style="45" customWidth="1"/>
    <col min="255" max="255" width="13.28515625" style="45" customWidth="1"/>
    <col min="256" max="256" width="15.28515625" style="45" customWidth="1"/>
    <col min="257" max="257" width="11.85546875" style="45" customWidth="1"/>
    <col min="258" max="258" width="6.140625" style="45" customWidth="1"/>
    <col min="259" max="259" width="11.85546875" style="45" customWidth="1"/>
    <col min="260" max="260" width="9.42578125" style="45" customWidth="1"/>
    <col min="261" max="261" width="14.7109375" style="45" customWidth="1"/>
    <col min="262" max="262" width="11.5703125" style="45" customWidth="1"/>
    <col min="263" max="263" width="0.42578125" style="45" customWidth="1"/>
    <col min="264" max="264" width="10.5703125" style="45" bestFit="1" customWidth="1"/>
    <col min="265" max="265" width="12.28515625" style="45" customWidth="1"/>
    <col min="266" max="266" width="12.5703125" style="45" customWidth="1"/>
    <col min="267" max="267" width="10.5703125" style="45" customWidth="1"/>
    <col min="268" max="268" width="10.140625" style="45" customWidth="1"/>
    <col min="269" max="269" width="8.42578125" style="45" customWidth="1"/>
    <col min="270" max="270" width="18.85546875" style="45" customWidth="1"/>
    <col min="271" max="271" width="10.28515625" style="45" customWidth="1"/>
    <col min="272" max="272" width="11.42578125" style="45"/>
    <col min="273" max="273" width="12.140625" style="45" customWidth="1"/>
    <col min="274" max="274" width="10.5703125" style="45" customWidth="1"/>
    <col min="275" max="275" width="12.42578125" style="45" customWidth="1"/>
    <col min="276" max="276" width="15.140625" style="45" customWidth="1"/>
    <col min="277" max="277" width="13.5703125" style="45" customWidth="1"/>
    <col min="278" max="278" width="13.140625" style="45" customWidth="1"/>
    <col min="279" max="279" width="15.7109375" style="45" customWidth="1"/>
    <col min="280" max="280" width="37.5703125" style="45" customWidth="1"/>
    <col min="281" max="502" width="11.42578125" style="45"/>
    <col min="503" max="503" width="10.5703125" style="45" customWidth="1"/>
    <col min="504" max="504" width="4.85546875" style="45" customWidth="1"/>
    <col min="505" max="505" width="32.42578125" style="45" customWidth="1"/>
    <col min="506" max="506" width="9.85546875" style="45" customWidth="1"/>
    <col min="507" max="507" width="10.140625" style="45" customWidth="1"/>
    <col min="508" max="508" width="12.28515625" style="45" customWidth="1"/>
    <col min="509" max="509" width="15.42578125" style="45" customWidth="1"/>
    <col min="510" max="510" width="11.85546875" style="45" customWidth="1"/>
    <col min="511" max="511" width="13.28515625" style="45" customWidth="1"/>
    <col min="512" max="512" width="15.28515625" style="45" customWidth="1"/>
    <col min="513" max="513" width="11.85546875" style="45" customWidth="1"/>
    <col min="514" max="514" width="6.140625" style="45" customWidth="1"/>
    <col min="515" max="515" width="11.85546875" style="45" customWidth="1"/>
    <col min="516" max="516" width="9.42578125" style="45" customWidth="1"/>
    <col min="517" max="517" width="14.7109375" style="45" customWidth="1"/>
    <col min="518" max="518" width="11.5703125" style="45" customWidth="1"/>
    <col min="519" max="519" width="0.42578125" style="45" customWidth="1"/>
    <col min="520" max="520" width="10.5703125" style="45" bestFit="1" customWidth="1"/>
    <col min="521" max="521" width="12.28515625" style="45" customWidth="1"/>
    <col min="522" max="522" width="12.5703125" style="45" customWidth="1"/>
    <col min="523" max="523" width="10.5703125" style="45" customWidth="1"/>
    <col min="524" max="524" width="10.140625" style="45" customWidth="1"/>
    <col min="525" max="525" width="8.42578125" style="45" customWidth="1"/>
    <col min="526" max="526" width="18.85546875" style="45" customWidth="1"/>
    <col min="527" max="527" width="10.28515625" style="45" customWidth="1"/>
    <col min="528" max="528" width="11.42578125" style="45"/>
    <col min="529" max="529" width="12.140625" style="45" customWidth="1"/>
    <col min="530" max="530" width="10.5703125" style="45" customWidth="1"/>
    <col min="531" max="531" width="12.42578125" style="45" customWidth="1"/>
    <col min="532" max="532" width="15.140625" style="45" customWidth="1"/>
    <col min="533" max="533" width="13.5703125" style="45" customWidth="1"/>
    <col min="534" max="534" width="13.140625" style="45" customWidth="1"/>
    <col min="535" max="535" width="15.7109375" style="45" customWidth="1"/>
    <col min="536" max="536" width="37.5703125" style="45" customWidth="1"/>
    <col min="537" max="758" width="11.42578125" style="45"/>
    <col min="759" max="759" width="10.5703125" style="45" customWidth="1"/>
    <col min="760" max="760" width="4.85546875" style="45" customWidth="1"/>
    <col min="761" max="761" width="32.42578125" style="45" customWidth="1"/>
    <col min="762" max="762" width="9.85546875" style="45" customWidth="1"/>
    <col min="763" max="763" width="10.140625" style="45" customWidth="1"/>
    <col min="764" max="764" width="12.28515625" style="45" customWidth="1"/>
    <col min="765" max="765" width="15.42578125" style="45" customWidth="1"/>
    <col min="766" max="766" width="11.85546875" style="45" customWidth="1"/>
    <col min="767" max="767" width="13.28515625" style="45" customWidth="1"/>
    <col min="768" max="768" width="15.28515625" style="45" customWidth="1"/>
    <col min="769" max="769" width="11.85546875" style="45" customWidth="1"/>
    <col min="770" max="770" width="6.140625" style="45" customWidth="1"/>
    <col min="771" max="771" width="11.85546875" style="45" customWidth="1"/>
    <col min="772" max="772" width="9.42578125" style="45" customWidth="1"/>
    <col min="773" max="773" width="14.7109375" style="45" customWidth="1"/>
    <col min="774" max="774" width="11.5703125" style="45" customWidth="1"/>
    <col min="775" max="775" width="0.42578125" style="45" customWidth="1"/>
    <col min="776" max="776" width="10.5703125" style="45" bestFit="1" customWidth="1"/>
    <col min="777" max="777" width="12.28515625" style="45" customWidth="1"/>
    <col min="778" max="778" width="12.5703125" style="45" customWidth="1"/>
    <col min="779" max="779" width="10.5703125" style="45" customWidth="1"/>
    <col min="780" max="780" width="10.140625" style="45" customWidth="1"/>
    <col min="781" max="781" width="8.42578125" style="45" customWidth="1"/>
    <col min="782" max="782" width="18.85546875" style="45" customWidth="1"/>
    <col min="783" max="783" width="10.28515625" style="45" customWidth="1"/>
    <col min="784" max="784" width="11.42578125" style="45"/>
    <col min="785" max="785" width="12.140625" style="45" customWidth="1"/>
    <col min="786" max="786" width="10.5703125" style="45" customWidth="1"/>
    <col min="787" max="787" width="12.42578125" style="45" customWidth="1"/>
    <col min="788" max="788" width="15.140625" style="45" customWidth="1"/>
    <col min="789" max="789" width="13.5703125" style="45" customWidth="1"/>
    <col min="790" max="790" width="13.140625" style="45" customWidth="1"/>
    <col min="791" max="791" width="15.7109375" style="45" customWidth="1"/>
    <col min="792" max="792" width="37.5703125" style="45" customWidth="1"/>
    <col min="793" max="1014" width="11.42578125" style="45"/>
    <col min="1015" max="1015" width="10.5703125" style="45" customWidth="1"/>
    <col min="1016" max="1016" width="4.85546875" style="45" customWidth="1"/>
    <col min="1017" max="1017" width="32.42578125" style="45" customWidth="1"/>
    <col min="1018" max="1018" width="9.85546875" style="45" customWidth="1"/>
    <col min="1019" max="1019" width="10.140625" style="45" customWidth="1"/>
    <col min="1020" max="1020" width="12.28515625" style="45" customWidth="1"/>
    <col min="1021" max="1021" width="15.42578125" style="45" customWidth="1"/>
    <col min="1022" max="1022" width="11.85546875" style="45" customWidth="1"/>
    <col min="1023" max="1023" width="13.28515625" style="45" customWidth="1"/>
    <col min="1024" max="1024" width="15.28515625" style="45" customWidth="1"/>
    <col min="1025" max="1025" width="11.85546875" style="45" customWidth="1"/>
    <col min="1026" max="1026" width="6.140625" style="45" customWidth="1"/>
    <col min="1027" max="1027" width="11.85546875" style="45" customWidth="1"/>
    <col min="1028" max="1028" width="9.42578125" style="45" customWidth="1"/>
    <col min="1029" max="1029" width="14.7109375" style="45" customWidth="1"/>
    <col min="1030" max="1030" width="11.5703125" style="45" customWidth="1"/>
    <col min="1031" max="1031" width="0.42578125" style="45" customWidth="1"/>
    <col min="1032" max="1032" width="10.5703125" style="45" bestFit="1" customWidth="1"/>
    <col min="1033" max="1033" width="12.28515625" style="45" customWidth="1"/>
    <col min="1034" max="1034" width="12.5703125" style="45" customWidth="1"/>
    <col min="1035" max="1035" width="10.5703125" style="45" customWidth="1"/>
    <col min="1036" max="1036" width="10.140625" style="45" customWidth="1"/>
    <col min="1037" max="1037" width="8.42578125" style="45" customWidth="1"/>
    <col min="1038" max="1038" width="18.85546875" style="45" customWidth="1"/>
    <col min="1039" max="1039" width="10.28515625" style="45" customWidth="1"/>
    <col min="1040" max="1040" width="11.42578125" style="45"/>
    <col min="1041" max="1041" width="12.140625" style="45" customWidth="1"/>
    <col min="1042" max="1042" width="10.5703125" style="45" customWidth="1"/>
    <col min="1043" max="1043" width="12.42578125" style="45" customWidth="1"/>
    <col min="1044" max="1044" width="15.140625" style="45" customWidth="1"/>
    <col min="1045" max="1045" width="13.5703125" style="45" customWidth="1"/>
    <col min="1046" max="1046" width="13.140625" style="45" customWidth="1"/>
    <col min="1047" max="1047" width="15.7109375" style="45" customWidth="1"/>
    <col min="1048" max="1048" width="37.5703125" style="45" customWidth="1"/>
    <col min="1049" max="1270" width="11.42578125" style="45"/>
    <col min="1271" max="1271" width="10.5703125" style="45" customWidth="1"/>
    <col min="1272" max="1272" width="4.85546875" style="45" customWidth="1"/>
    <col min="1273" max="1273" width="32.42578125" style="45" customWidth="1"/>
    <col min="1274" max="1274" width="9.85546875" style="45" customWidth="1"/>
    <col min="1275" max="1275" width="10.140625" style="45" customWidth="1"/>
    <col min="1276" max="1276" width="12.28515625" style="45" customWidth="1"/>
    <col min="1277" max="1277" width="15.42578125" style="45" customWidth="1"/>
    <col min="1278" max="1278" width="11.85546875" style="45" customWidth="1"/>
    <col min="1279" max="1279" width="13.28515625" style="45" customWidth="1"/>
    <col min="1280" max="1280" width="15.28515625" style="45" customWidth="1"/>
    <col min="1281" max="1281" width="11.85546875" style="45" customWidth="1"/>
    <col min="1282" max="1282" width="6.140625" style="45" customWidth="1"/>
    <col min="1283" max="1283" width="11.85546875" style="45" customWidth="1"/>
    <col min="1284" max="1284" width="9.42578125" style="45" customWidth="1"/>
    <col min="1285" max="1285" width="14.7109375" style="45" customWidth="1"/>
    <col min="1286" max="1286" width="11.5703125" style="45" customWidth="1"/>
    <col min="1287" max="1287" width="0.42578125" style="45" customWidth="1"/>
    <col min="1288" max="1288" width="10.5703125" style="45" bestFit="1" customWidth="1"/>
    <col min="1289" max="1289" width="12.28515625" style="45" customWidth="1"/>
    <col min="1290" max="1290" width="12.5703125" style="45" customWidth="1"/>
    <col min="1291" max="1291" width="10.5703125" style="45" customWidth="1"/>
    <col min="1292" max="1292" width="10.140625" style="45" customWidth="1"/>
    <col min="1293" max="1293" width="8.42578125" style="45" customWidth="1"/>
    <col min="1294" max="1294" width="18.85546875" style="45" customWidth="1"/>
    <col min="1295" max="1295" width="10.28515625" style="45" customWidth="1"/>
    <col min="1296" max="1296" width="11.42578125" style="45"/>
    <col min="1297" max="1297" width="12.140625" style="45" customWidth="1"/>
    <col min="1298" max="1298" width="10.5703125" style="45" customWidth="1"/>
    <col min="1299" max="1299" width="12.42578125" style="45" customWidth="1"/>
    <col min="1300" max="1300" width="15.140625" style="45" customWidth="1"/>
    <col min="1301" max="1301" width="13.5703125" style="45" customWidth="1"/>
    <col min="1302" max="1302" width="13.140625" style="45" customWidth="1"/>
    <col min="1303" max="1303" width="15.7109375" style="45" customWidth="1"/>
    <col min="1304" max="1304" width="37.5703125" style="45" customWidth="1"/>
    <col min="1305" max="1526" width="11.42578125" style="45"/>
    <col min="1527" max="1527" width="10.5703125" style="45" customWidth="1"/>
    <col min="1528" max="1528" width="4.85546875" style="45" customWidth="1"/>
    <col min="1529" max="1529" width="32.42578125" style="45" customWidth="1"/>
    <col min="1530" max="1530" width="9.85546875" style="45" customWidth="1"/>
    <col min="1531" max="1531" width="10.140625" style="45" customWidth="1"/>
    <col min="1532" max="1532" width="12.28515625" style="45" customWidth="1"/>
    <col min="1533" max="1533" width="15.42578125" style="45" customWidth="1"/>
    <col min="1534" max="1534" width="11.85546875" style="45" customWidth="1"/>
    <col min="1535" max="1535" width="13.28515625" style="45" customWidth="1"/>
    <col min="1536" max="1536" width="15.28515625" style="45" customWidth="1"/>
    <col min="1537" max="1537" width="11.85546875" style="45" customWidth="1"/>
    <col min="1538" max="1538" width="6.140625" style="45" customWidth="1"/>
    <col min="1539" max="1539" width="11.85546875" style="45" customWidth="1"/>
    <col min="1540" max="1540" width="9.42578125" style="45" customWidth="1"/>
    <col min="1541" max="1541" width="14.7109375" style="45" customWidth="1"/>
    <col min="1542" max="1542" width="11.5703125" style="45" customWidth="1"/>
    <col min="1543" max="1543" width="0.42578125" style="45" customWidth="1"/>
    <col min="1544" max="1544" width="10.5703125" style="45" bestFit="1" customWidth="1"/>
    <col min="1545" max="1545" width="12.28515625" style="45" customWidth="1"/>
    <col min="1546" max="1546" width="12.5703125" style="45" customWidth="1"/>
    <col min="1547" max="1547" width="10.5703125" style="45" customWidth="1"/>
    <col min="1548" max="1548" width="10.140625" style="45" customWidth="1"/>
    <col min="1549" max="1549" width="8.42578125" style="45" customWidth="1"/>
    <col min="1550" max="1550" width="18.85546875" style="45" customWidth="1"/>
    <col min="1551" max="1551" width="10.28515625" style="45" customWidth="1"/>
    <col min="1552" max="1552" width="11.42578125" style="45"/>
    <col min="1553" max="1553" width="12.140625" style="45" customWidth="1"/>
    <col min="1554" max="1554" width="10.5703125" style="45" customWidth="1"/>
    <col min="1555" max="1555" width="12.42578125" style="45" customWidth="1"/>
    <col min="1556" max="1556" width="15.140625" style="45" customWidth="1"/>
    <col min="1557" max="1557" width="13.5703125" style="45" customWidth="1"/>
    <col min="1558" max="1558" width="13.140625" style="45" customWidth="1"/>
    <col min="1559" max="1559" width="15.7109375" style="45" customWidth="1"/>
    <col min="1560" max="1560" width="37.5703125" style="45" customWidth="1"/>
    <col min="1561" max="1782" width="11.42578125" style="45"/>
    <col min="1783" max="1783" width="10.5703125" style="45" customWidth="1"/>
    <col min="1784" max="1784" width="4.85546875" style="45" customWidth="1"/>
    <col min="1785" max="1785" width="32.42578125" style="45" customWidth="1"/>
    <col min="1786" max="1786" width="9.85546875" style="45" customWidth="1"/>
    <col min="1787" max="1787" width="10.140625" style="45" customWidth="1"/>
    <col min="1788" max="1788" width="12.28515625" style="45" customWidth="1"/>
    <col min="1789" max="1789" width="15.42578125" style="45" customWidth="1"/>
    <col min="1790" max="1790" width="11.85546875" style="45" customWidth="1"/>
    <col min="1791" max="1791" width="13.28515625" style="45" customWidth="1"/>
    <col min="1792" max="1792" width="15.28515625" style="45" customWidth="1"/>
    <col min="1793" max="1793" width="11.85546875" style="45" customWidth="1"/>
    <col min="1794" max="1794" width="6.140625" style="45" customWidth="1"/>
    <col min="1795" max="1795" width="11.85546875" style="45" customWidth="1"/>
    <col min="1796" max="1796" width="9.42578125" style="45" customWidth="1"/>
    <col min="1797" max="1797" width="14.7109375" style="45" customWidth="1"/>
    <col min="1798" max="1798" width="11.5703125" style="45" customWidth="1"/>
    <col min="1799" max="1799" width="0.42578125" style="45" customWidth="1"/>
    <col min="1800" max="1800" width="10.5703125" style="45" bestFit="1" customWidth="1"/>
    <col min="1801" max="1801" width="12.28515625" style="45" customWidth="1"/>
    <col min="1802" max="1802" width="12.5703125" style="45" customWidth="1"/>
    <col min="1803" max="1803" width="10.5703125" style="45" customWidth="1"/>
    <col min="1804" max="1804" width="10.140625" style="45" customWidth="1"/>
    <col min="1805" max="1805" width="8.42578125" style="45" customWidth="1"/>
    <col min="1806" max="1806" width="18.85546875" style="45" customWidth="1"/>
    <col min="1807" max="1807" width="10.28515625" style="45" customWidth="1"/>
    <col min="1808" max="1808" width="11.42578125" style="45"/>
    <col min="1809" max="1809" width="12.140625" style="45" customWidth="1"/>
    <col min="1810" max="1810" width="10.5703125" style="45" customWidth="1"/>
    <col min="1811" max="1811" width="12.42578125" style="45" customWidth="1"/>
    <col min="1812" max="1812" width="15.140625" style="45" customWidth="1"/>
    <col min="1813" max="1813" width="13.5703125" style="45" customWidth="1"/>
    <col min="1814" max="1814" width="13.140625" style="45" customWidth="1"/>
    <col min="1815" max="1815" width="15.7109375" style="45" customWidth="1"/>
    <col min="1816" max="1816" width="37.5703125" style="45" customWidth="1"/>
    <col min="1817" max="2038" width="11.42578125" style="45"/>
    <col min="2039" max="2039" width="10.5703125" style="45" customWidth="1"/>
    <col min="2040" max="2040" width="4.85546875" style="45" customWidth="1"/>
    <col min="2041" max="2041" width="32.42578125" style="45" customWidth="1"/>
    <col min="2042" max="2042" width="9.85546875" style="45" customWidth="1"/>
    <col min="2043" max="2043" width="10.140625" style="45" customWidth="1"/>
    <col min="2044" max="2044" width="12.28515625" style="45" customWidth="1"/>
    <col min="2045" max="2045" width="15.42578125" style="45" customWidth="1"/>
    <col min="2046" max="2046" width="11.85546875" style="45" customWidth="1"/>
    <col min="2047" max="2047" width="13.28515625" style="45" customWidth="1"/>
    <col min="2048" max="2048" width="15.28515625" style="45" customWidth="1"/>
    <col min="2049" max="2049" width="11.85546875" style="45" customWidth="1"/>
    <col min="2050" max="2050" width="6.140625" style="45" customWidth="1"/>
    <col min="2051" max="2051" width="11.85546875" style="45" customWidth="1"/>
    <col min="2052" max="2052" width="9.42578125" style="45" customWidth="1"/>
    <col min="2053" max="2053" width="14.7109375" style="45" customWidth="1"/>
    <col min="2054" max="2054" width="11.5703125" style="45" customWidth="1"/>
    <col min="2055" max="2055" width="0.42578125" style="45" customWidth="1"/>
    <col min="2056" max="2056" width="10.5703125" style="45" bestFit="1" customWidth="1"/>
    <col min="2057" max="2057" width="12.28515625" style="45" customWidth="1"/>
    <col min="2058" max="2058" width="12.5703125" style="45" customWidth="1"/>
    <col min="2059" max="2059" width="10.5703125" style="45" customWidth="1"/>
    <col min="2060" max="2060" width="10.140625" style="45" customWidth="1"/>
    <col min="2061" max="2061" width="8.42578125" style="45" customWidth="1"/>
    <col min="2062" max="2062" width="18.85546875" style="45" customWidth="1"/>
    <col min="2063" max="2063" width="10.28515625" style="45" customWidth="1"/>
    <col min="2064" max="2064" width="11.42578125" style="45"/>
    <col min="2065" max="2065" width="12.140625" style="45" customWidth="1"/>
    <col min="2066" max="2066" width="10.5703125" style="45" customWidth="1"/>
    <col min="2067" max="2067" width="12.42578125" style="45" customWidth="1"/>
    <col min="2068" max="2068" width="15.140625" style="45" customWidth="1"/>
    <col min="2069" max="2069" width="13.5703125" style="45" customWidth="1"/>
    <col min="2070" max="2070" width="13.140625" style="45" customWidth="1"/>
    <col min="2071" max="2071" width="15.7109375" style="45" customWidth="1"/>
    <col min="2072" max="2072" width="37.5703125" style="45" customWidth="1"/>
    <col min="2073" max="2294" width="11.42578125" style="45"/>
    <col min="2295" max="2295" width="10.5703125" style="45" customWidth="1"/>
    <col min="2296" max="2296" width="4.85546875" style="45" customWidth="1"/>
    <col min="2297" max="2297" width="32.42578125" style="45" customWidth="1"/>
    <col min="2298" max="2298" width="9.85546875" style="45" customWidth="1"/>
    <col min="2299" max="2299" width="10.140625" style="45" customWidth="1"/>
    <col min="2300" max="2300" width="12.28515625" style="45" customWidth="1"/>
    <col min="2301" max="2301" width="15.42578125" style="45" customWidth="1"/>
    <col min="2302" max="2302" width="11.85546875" style="45" customWidth="1"/>
    <col min="2303" max="2303" width="13.28515625" style="45" customWidth="1"/>
    <col min="2304" max="2304" width="15.28515625" style="45" customWidth="1"/>
    <col min="2305" max="2305" width="11.85546875" style="45" customWidth="1"/>
    <col min="2306" max="2306" width="6.140625" style="45" customWidth="1"/>
    <col min="2307" max="2307" width="11.85546875" style="45" customWidth="1"/>
    <col min="2308" max="2308" width="9.42578125" style="45" customWidth="1"/>
    <col min="2309" max="2309" width="14.7109375" style="45" customWidth="1"/>
    <col min="2310" max="2310" width="11.5703125" style="45" customWidth="1"/>
    <col min="2311" max="2311" width="0.42578125" style="45" customWidth="1"/>
    <col min="2312" max="2312" width="10.5703125" style="45" bestFit="1" customWidth="1"/>
    <col min="2313" max="2313" width="12.28515625" style="45" customWidth="1"/>
    <col min="2314" max="2314" width="12.5703125" style="45" customWidth="1"/>
    <col min="2315" max="2315" width="10.5703125" style="45" customWidth="1"/>
    <col min="2316" max="2316" width="10.140625" style="45" customWidth="1"/>
    <col min="2317" max="2317" width="8.42578125" style="45" customWidth="1"/>
    <col min="2318" max="2318" width="18.85546875" style="45" customWidth="1"/>
    <col min="2319" max="2319" width="10.28515625" style="45" customWidth="1"/>
    <col min="2320" max="2320" width="11.42578125" style="45"/>
    <col min="2321" max="2321" width="12.140625" style="45" customWidth="1"/>
    <col min="2322" max="2322" width="10.5703125" style="45" customWidth="1"/>
    <col min="2323" max="2323" width="12.42578125" style="45" customWidth="1"/>
    <col min="2324" max="2324" width="15.140625" style="45" customWidth="1"/>
    <col min="2325" max="2325" width="13.5703125" style="45" customWidth="1"/>
    <col min="2326" max="2326" width="13.140625" style="45" customWidth="1"/>
    <col min="2327" max="2327" width="15.7109375" style="45" customWidth="1"/>
    <col min="2328" max="2328" width="37.5703125" style="45" customWidth="1"/>
    <col min="2329" max="2550" width="11.42578125" style="45"/>
    <col min="2551" max="2551" width="10.5703125" style="45" customWidth="1"/>
    <col min="2552" max="2552" width="4.85546875" style="45" customWidth="1"/>
    <col min="2553" max="2553" width="32.42578125" style="45" customWidth="1"/>
    <col min="2554" max="2554" width="9.85546875" style="45" customWidth="1"/>
    <col min="2555" max="2555" width="10.140625" style="45" customWidth="1"/>
    <col min="2556" max="2556" width="12.28515625" style="45" customWidth="1"/>
    <col min="2557" max="2557" width="15.42578125" style="45" customWidth="1"/>
    <col min="2558" max="2558" width="11.85546875" style="45" customWidth="1"/>
    <col min="2559" max="2559" width="13.28515625" style="45" customWidth="1"/>
    <col min="2560" max="2560" width="15.28515625" style="45" customWidth="1"/>
    <col min="2561" max="2561" width="11.85546875" style="45" customWidth="1"/>
    <col min="2562" max="2562" width="6.140625" style="45" customWidth="1"/>
    <col min="2563" max="2563" width="11.85546875" style="45" customWidth="1"/>
    <col min="2564" max="2564" width="9.42578125" style="45" customWidth="1"/>
    <col min="2565" max="2565" width="14.7109375" style="45" customWidth="1"/>
    <col min="2566" max="2566" width="11.5703125" style="45" customWidth="1"/>
    <col min="2567" max="2567" width="0.42578125" style="45" customWidth="1"/>
    <col min="2568" max="2568" width="10.5703125" style="45" bestFit="1" customWidth="1"/>
    <col min="2569" max="2569" width="12.28515625" style="45" customWidth="1"/>
    <col min="2570" max="2570" width="12.5703125" style="45" customWidth="1"/>
    <col min="2571" max="2571" width="10.5703125" style="45" customWidth="1"/>
    <col min="2572" max="2572" width="10.140625" style="45" customWidth="1"/>
    <col min="2573" max="2573" width="8.42578125" style="45" customWidth="1"/>
    <col min="2574" max="2574" width="18.85546875" style="45" customWidth="1"/>
    <col min="2575" max="2575" width="10.28515625" style="45" customWidth="1"/>
    <col min="2576" max="2576" width="11.42578125" style="45"/>
    <col min="2577" max="2577" width="12.140625" style="45" customWidth="1"/>
    <col min="2578" max="2578" width="10.5703125" style="45" customWidth="1"/>
    <col min="2579" max="2579" width="12.42578125" style="45" customWidth="1"/>
    <col min="2580" max="2580" width="15.140625" style="45" customWidth="1"/>
    <col min="2581" max="2581" width="13.5703125" style="45" customWidth="1"/>
    <col min="2582" max="2582" width="13.140625" style="45" customWidth="1"/>
    <col min="2583" max="2583" width="15.7109375" style="45" customWidth="1"/>
    <col min="2584" max="2584" width="37.5703125" style="45" customWidth="1"/>
    <col min="2585" max="2806" width="11.42578125" style="45"/>
    <col min="2807" max="2807" width="10.5703125" style="45" customWidth="1"/>
    <col min="2808" max="2808" width="4.85546875" style="45" customWidth="1"/>
    <col min="2809" max="2809" width="32.42578125" style="45" customWidth="1"/>
    <col min="2810" max="2810" width="9.85546875" style="45" customWidth="1"/>
    <col min="2811" max="2811" width="10.140625" style="45" customWidth="1"/>
    <col min="2812" max="2812" width="12.28515625" style="45" customWidth="1"/>
    <col min="2813" max="2813" width="15.42578125" style="45" customWidth="1"/>
    <col min="2814" max="2814" width="11.85546875" style="45" customWidth="1"/>
    <col min="2815" max="2815" width="13.28515625" style="45" customWidth="1"/>
    <col min="2816" max="2816" width="15.28515625" style="45" customWidth="1"/>
    <col min="2817" max="2817" width="11.85546875" style="45" customWidth="1"/>
    <col min="2818" max="2818" width="6.140625" style="45" customWidth="1"/>
    <col min="2819" max="2819" width="11.85546875" style="45" customWidth="1"/>
    <col min="2820" max="2820" width="9.42578125" style="45" customWidth="1"/>
    <col min="2821" max="2821" width="14.7109375" style="45" customWidth="1"/>
    <col min="2822" max="2822" width="11.5703125" style="45" customWidth="1"/>
    <col min="2823" max="2823" width="0.42578125" style="45" customWidth="1"/>
    <col min="2824" max="2824" width="10.5703125" style="45" bestFit="1" customWidth="1"/>
    <col min="2825" max="2825" width="12.28515625" style="45" customWidth="1"/>
    <col min="2826" max="2826" width="12.5703125" style="45" customWidth="1"/>
    <col min="2827" max="2827" width="10.5703125" style="45" customWidth="1"/>
    <col min="2828" max="2828" width="10.140625" style="45" customWidth="1"/>
    <col min="2829" max="2829" width="8.42578125" style="45" customWidth="1"/>
    <col min="2830" max="2830" width="18.85546875" style="45" customWidth="1"/>
    <col min="2831" max="2831" width="10.28515625" style="45" customWidth="1"/>
    <col min="2832" max="2832" width="11.42578125" style="45"/>
    <col min="2833" max="2833" width="12.140625" style="45" customWidth="1"/>
    <col min="2834" max="2834" width="10.5703125" style="45" customWidth="1"/>
    <col min="2835" max="2835" width="12.42578125" style="45" customWidth="1"/>
    <col min="2836" max="2836" width="15.140625" style="45" customWidth="1"/>
    <col min="2837" max="2837" width="13.5703125" style="45" customWidth="1"/>
    <col min="2838" max="2838" width="13.140625" style="45" customWidth="1"/>
    <col min="2839" max="2839" width="15.7109375" style="45" customWidth="1"/>
    <col min="2840" max="2840" width="37.5703125" style="45" customWidth="1"/>
    <col min="2841" max="3062" width="11.42578125" style="45"/>
    <col min="3063" max="3063" width="10.5703125" style="45" customWidth="1"/>
    <col min="3064" max="3064" width="4.85546875" style="45" customWidth="1"/>
    <col min="3065" max="3065" width="32.42578125" style="45" customWidth="1"/>
    <col min="3066" max="3066" width="9.85546875" style="45" customWidth="1"/>
    <col min="3067" max="3067" width="10.140625" style="45" customWidth="1"/>
    <col min="3068" max="3068" width="12.28515625" style="45" customWidth="1"/>
    <col min="3069" max="3069" width="15.42578125" style="45" customWidth="1"/>
    <col min="3070" max="3070" width="11.85546875" style="45" customWidth="1"/>
    <col min="3071" max="3071" width="13.28515625" style="45" customWidth="1"/>
    <col min="3072" max="3072" width="15.28515625" style="45" customWidth="1"/>
    <col min="3073" max="3073" width="11.85546875" style="45" customWidth="1"/>
    <col min="3074" max="3074" width="6.140625" style="45" customWidth="1"/>
    <col min="3075" max="3075" width="11.85546875" style="45" customWidth="1"/>
    <col min="3076" max="3076" width="9.42578125" style="45" customWidth="1"/>
    <col min="3077" max="3077" width="14.7109375" style="45" customWidth="1"/>
    <col min="3078" max="3078" width="11.5703125" style="45" customWidth="1"/>
    <col min="3079" max="3079" width="0.42578125" style="45" customWidth="1"/>
    <col min="3080" max="3080" width="10.5703125" style="45" bestFit="1" customWidth="1"/>
    <col min="3081" max="3081" width="12.28515625" style="45" customWidth="1"/>
    <col min="3082" max="3082" width="12.5703125" style="45" customWidth="1"/>
    <col min="3083" max="3083" width="10.5703125" style="45" customWidth="1"/>
    <col min="3084" max="3084" width="10.140625" style="45" customWidth="1"/>
    <col min="3085" max="3085" width="8.42578125" style="45" customWidth="1"/>
    <col min="3086" max="3086" width="18.85546875" style="45" customWidth="1"/>
    <col min="3087" max="3087" width="10.28515625" style="45" customWidth="1"/>
    <col min="3088" max="3088" width="11.42578125" style="45"/>
    <col min="3089" max="3089" width="12.140625" style="45" customWidth="1"/>
    <col min="3090" max="3090" width="10.5703125" style="45" customWidth="1"/>
    <col min="3091" max="3091" width="12.42578125" style="45" customWidth="1"/>
    <col min="3092" max="3092" width="15.140625" style="45" customWidth="1"/>
    <col min="3093" max="3093" width="13.5703125" style="45" customWidth="1"/>
    <col min="3094" max="3094" width="13.140625" style="45" customWidth="1"/>
    <col min="3095" max="3095" width="15.7109375" style="45" customWidth="1"/>
    <col min="3096" max="3096" width="37.5703125" style="45" customWidth="1"/>
    <col min="3097" max="3318" width="11.42578125" style="45"/>
    <col min="3319" max="3319" width="10.5703125" style="45" customWidth="1"/>
    <col min="3320" max="3320" width="4.85546875" style="45" customWidth="1"/>
    <col min="3321" max="3321" width="32.42578125" style="45" customWidth="1"/>
    <col min="3322" max="3322" width="9.85546875" style="45" customWidth="1"/>
    <col min="3323" max="3323" width="10.140625" style="45" customWidth="1"/>
    <col min="3324" max="3324" width="12.28515625" style="45" customWidth="1"/>
    <col min="3325" max="3325" width="15.42578125" style="45" customWidth="1"/>
    <col min="3326" max="3326" width="11.85546875" style="45" customWidth="1"/>
    <col min="3327" max="3327" width="13.28515625" style="45" customWidth="1"/>
    <col min="3328" max="3328" width="15.28515625" style="45" customWidth="1"/>
    <col min="3329" max="3329" width="11.85546875" style="45" customWidth="1"/>
    <col min="3330" max="3330" width="6.140625" style="45" customWidth="1"/>
    <col min="3331" max="3331" width="11.85546875" style="45" customWidth="1"/>
    <col min="3332" max="3332" width="9.42578125" style="45" customWidth="1"/>
    <col min="3333" max="3333" width="14.7109375" style="45" customWidth="1"/>
    <col min="3334" max="3334" width="11.5703125" style="45" customWidth="1"/>
    <col min="3335" max="3335" width="0.42578125" style="45" customWidth="1"/>
    <col min="3336" max="3336" width="10.5703125" style="45" bestFit="1" customWidth="1"/>
    <col min="3337" max="3337" width="12.28515625" style="45" customWidth="1"/>
    <col min="3338" max="3338" width="12.5703125" style="45" customWidth="1"/>
    <col min="3339" max="3339" width="10.5703125" style="45" customWidth="1"/>
    <col min="3340" max="3340" width="10.140625" style="45" customWidth="1"/>
    <col min="3341" max="3341" width="8.42578125" style="45" customWidth="1"/>
    <col min="3342" max="3342" width="18.85546875" style="45" customWidth="1"/>
    <col min="3343" max="3343" width="10.28515625" style="45" customWidth="1"/>
    <col min="3344" max="3344" width="11.42578125" style="45"/>
    <col min="3345" max="3345" width="12.140625" style="45" customWidth="1"/>
    <col min="3346" max="3346" width="10.5703125" style="45" customWidth="1"/>
    <col min="3347" max="3347" width="12.42578125" style="45" customWidth="1"/>
    <col min="3348" max="3348" width="15.140625" style="45" customWidth="1"/>
    <col min="3349" max="3349" width="13.5703125" style="45" customWidth="1"/>
    <col min="3350" max="3350" width="13.140625" style="45" customWidth="1"/>
    <col min="3351" max="3351" width="15.7109375" style="45" customWidth="1"/>
    <col min="3352" max="3352" width="37.5703125" style="45" customWidth="1"/>
    <col min="3353" max="3574" width="11.42578125" style="45"/>
    <col min="3575" max="3575" width="10.5703125" style="45" customWidth="1"/>
    <col min="3576" max="3576" width="4.85546875" style="45" customWidth="1"/>
    <col min="3577" max="3577" width="32.42578125" style="45" customWidth="1"/>
    <col min="3578" max="3578" width="9.85546875" style="45" customWidth="1"/>
    <col min="3579" max="3579" width="10.140625" style="45" customWidth="1"/>
    <col min="3580" max="3580" width="12.28515625" style="45" customWidth="1"/>
    <col min="3581" max="3581" width="15.42578125" style="45" customWidth="1"/>
    <col min="3582" max="3582" width="11.85546875" style="45" customWidth="1"/>
    <col min="3583" max="3583" width="13.28515625" style="45" customWidth="1"/>
    <col min="3584" max="3584" width="15.28515625" style="45" customWidth="1"/>
    <col min="3585" max="3585" width="11.85546875" style="45" customWidth="1"/>
    <col min="3586" max="3586" width="6.140625" style="45" customWidth="1"/>
    <col min="3587" max="3587" width="11.85546875" style="45" customWidth="1"/>
    <col min="3588" max="3588" width="9.42578125" style="45" customWidth="1"/>
    <col min="3589" max="3589" width="14.7109375" style="45" customWidth="1"/>
    <col min="3590" max="3590" width="11.5703125" style="45" customWidth="1"/>
    <col min="3591" max="3591" width="0.42578125" style="45" customWidth="1"/>
    <col min="3592" max="3592" width="10.5703125" style="45" bestFit="1" customWidth="1"/>
    <col min="3593" max="3593" width="12.28515625" style="45" customWidth="1"/>
    <col min="3594" max="3594" width="12.5703125" style="45" customWidth="1"/>
    <col min="3595" max="3595" width="10.5703125" style="45" customWidth="1"/>
    <col min="3596" max="3596" width="10.140625" style="45" customWidth="1"/>
    <col min="3597" max="3597" width="8.42578125" style="45" customWidth="1"/>
    <col min="3598" max="3598" width="18.85546875" style="45" customWidth="1"/>
    <col min="3599" max="3599" width="10.28515625" style="45" customWidth="1"/>
    <col min="3600" max="3600" width="11.42578125" style="45"/>
    <col min="3601" max="3601" width="12.140625" style="45" customWidth="1"/>
    <col min="3602" max="3602" width="10.5703125" style="45" customWidth="1"/>
    <col min="3603" max="3603" width="12.42578125" style="45" customWidth="1"/>
    <col min="3604" max="3604" width="15.140625" style="45" customWidth="1"/>
    <col min="3605" max="3605" width="13.5703125" style="45" customWidth="1"/>
    <col min="3606" max="3606" width="13.140625" style="45" customWidth="1"/>
    <col min="3607" max="3607" width="15.7109375" style="45" customWidth="1"/>
    <col min="3608" max="3608" width="37.5703125" style="45" customWidth="1"/>
    <col min="3609" max="3830" width="11.42578125" style="45"/>
    <col min="3831" max="3831" width="10.5703125" style="45" customWidth="1"/>
    <col min="3832" max="3832" width="4.85546875" style="45" customWidth="1"/>
    <col min="3833" max="3833" width="32.42578125" style="45" customWidth="1"/>
    <col min="3834" max="3834" width="9.85546875" style="45" customWidth="1"/>
    <col min="3835" max="3835" width="10.140625" style="45" customWidth="1"/>
    <col min="3836" max="3836" width="12.28515625" style="45" customWidth="1"/>
    <col min="3837" max="3837" width="15.42578125" style="45" customWidth="1"/>
    <col min="3838" max="3838" width="11.85546875" style="45" customWidth="1"/>
    <col min="3839" max="3839" width="13.28515625" style="45" customWidth="1"/>
    <col min="3840" max="3840" width="15.28515625" style="45" customWidth="1"/>
    <col min="3841" max="3841" width="11.85546875" style="45" customWidth="1"/>
    <col min="3842" max="3842" width="6.140625" style="45" customWidth="1"/>
    <col min="3843" max="3843" width="11.85546875" style="45" customWidth="1"/>
    <col min="3844" max="3844" width="9.42578125" style="45" customWidth="1"/>
    <col min="3845" max="3845" width="14.7109375" style="45" customWidth="1"/>
    <col min="3846" max="3846" width="11.5703125" style="45" customWidth="1"/>
    <col min="3847" max="3847" width="0.42578125" style="45" customWidth="1"/>
    <col min="3848" max="3848" width="10.5703125" style="45" bestFit="1" customWidth="1"/>
    <col min="3849" max="3849" width="12.28515625" style="45" customWidth="1"/>
    <col min="3850" max="3850" width="12.5703125" style="45" customWidth="1"/>
    <col min="3851" max="3851" width="10.5703125" style="45" customWidth="1"/>
    <col min="3852" max="3852" width="10.140625" style="45" customWidth="1"/>
    <col min="3853" max="3853" width="8.42578125" style="45" customWidth="1"/>
    <col min="3854" max="3854" width="18.85546875" style="45" customWidth="1"/>
    <col min="3855" max="3855" width="10.28515625" style="45" customWidth="1"/>
    <col min="3856" max="3856" width="11.42578125" style="45"/>
    <col min="3857" max="3857" width="12.140625" style="45" customWidth="1"/>
    <col min="3858" max="3858" width="10.5703125" style="45" customWidth="1"/>
    <col min="3859" max="3859" width="12.42578125" style="45" customWidth="1"/>
    <col min="3860" max="3860" width="15.140625" style="45" customWidth="1"/>
    <col min="3861" max="3861" width="13.5703125" style="45" customWidth="1"/>
    <col min="3862" max="3862" width="13.140625" style="45" customWidth="1"/>
    <col min="3863" max="3863" width="15.7109375" style="45" customWidth="1"/>
    <col min="3864" max="3864" width="37.5703125" style="45" customWidth="1"/>
    <col min="3865" max="4086" width="11.42578125" style="45"/>
    <col min="4087" max="4087" width="10.5703125" style="45" customWidth="1"/>
    <col min="4088" max="4088" width="4.85546875" style="45" customWidth="1"/>
    <col min="4089" max="4089" width="32.42578125" style="45" customWidth="1"/>
    <col min="4090" max="4090" width="9.85546875" style="45" customWidth="1"/>
    <col min="4091" max="4091" width="10.140625" style="45" customWidth="1"/>
    <col min="4092" max="4092" width="12.28515625" style="45" customWidth="1"/>
    <col min="4093" max="4093" width="15.42578125" style="45" customWidth="1"/>
    <col min="4094" max="4094" width="11.85546875" style="45" customWidth="1"/>
    <col min="4095" max="4095" width="13.28515625" style="45" customWidth="1"/>
    <col min="4096" max="4096" width="15.28515625" style="45" customWidth="1"/>
    <col min="4097" max="4097" width="11.85546875" style="45" customWidth="1"/>
    <col min="4098" max="4098" width="6.140625" style="45" customWidth="1"/>
    <col min="4099" max="4099" width="11.85546875" style="45" customWidth="1"/>
    <col min="4100" max="4100" width="9.42578125" style="45" customWidth="1"/>
    <col min="4101" max="4101" width="14.7109375" style="45" customWidth="1"/>
    <col min="4102" max="4102" width="11.5703125" style="45" customWidth="1"/>
    <col min="4103" max="4103" width="0.42578125" style="45" customWidth="1"/>
    <col min="4104" max="4104" width="10.5703125" style="45" bestFit="1" customWidth="1"/>
    <col min="4105" max="4105" width="12.28515625" style="45" customWidth="1"/>
    <col min="4106" max="4106" width="12.5703125" style="45" customWidth="1"/>
    <col min="4107" max="4107" width="10.5703125" style="45" customWidth="1"/>
    <col min="4108" max="4108" width="10.140625" style="45" customWidth="1"/>
    <col min="4109" max="4109" width="8.42578125" style="45" customWidth="1"/>
    <col min="4110" max="4110" width="18.85546875" style="45" customWidth="1"/>
    <col min="4111" max="4111" width="10.28515625" style="45" customWidth="1"/>
    <col min="4112" max="4112" width="11.42578125" style="45"/>
    <col min="4113" max="4113" width="12.140625" style="45" customWidth="1"/>
    <col min="4114" max="4114" width="10.5703125" style="45" customWidth="1"/>
    <col min="4115" max="4115" width="12.42578125" style="45" customWidth="1"/>
    <col min="4116" max="4116" width="15.140625" style="45" customWidth="1"/>
    <col min="4117" max="4117" width="13.5703125" style="45" customWidth="1"/>
    <col min="4118" max="4118" width="13.140625" style="45" customWidth="1"/>
    <col min="4119" max="4119" width="15.7109375" style="45" customWidth="1"/>
    <col min="4120" max="4120" width="37.5703125" style="45" customWidth="1"/>
    <col min="4121" max="4342" width="11.42578125" style="45"/>
    <col min="4343" max="4343" width="10.5703125" style="45" customWidth="1"/>
    <col min="4344" max="4344" width="4.85546875" style="45" customWidth="1"/>
    <col min="4345" max="4345" width="32.42578125" style="45" customWidth="1"/>
    <col min="4346" max="4346" width="9.85546875" style="45" customWidth="1"/>
    <col min="4347" max="4347" width="10.140625" style="45" customWidth="1"/>
    <col min="4348" max="4348" width="12.28515625" style="45" customWidth="1"/>
    <col min="4349" max="4349" width="15.42578125" style="45" customWidth="1"/>
    <col min="4350" max="4350" width="11.85546875" style="45" customWidth="1"/>
    <col min="4351" max="4351" width="13.28515625" style="45" customWidth="1"/>
    <col min="4352" max="4352" width="15.28515625" style="45" customWidth="1"/>
    <col min="4353" max="4353" width="11.85546875" style="45" customWidth="1"/>
    <col min="4354" max="4354" width="6.140625" style="45" customWidth="1"/>
    <col min="4355" max="4355" width="11.85546875" style="45" customWidth="1"/>
    <col min="4356" max="4356" width="9.42578125" style="45" customWidth="1"/>
    <col min="4357" max="4357" width="14.7109375" style="45" customWidth="1"/>
    <col min="4358" max="4358" width="11.5703125" style="45" customWidth="1"/>
    <col min="4359" max="4359" width="0.42578125" style="45" customWidth="1"/>
    <col min="4360" max="4360" width="10.5703125" style="45" bestFit="1" customWidth="1"/>
    <col min="4361" max="4361" width="12.28515625" style="45" customWidth="1"/>
    <col min="4362" max="4362" width="12.5703125" style="45" customWidth="1"/>
    <col min="4363" max="4363" width="10.5703125" style="45" customWidth="1"/>
    <col min="4364" max="4364" width="10.140625" style="45" customWidth="1"/>
    <col min="4365" max="4365" width="8.42578125" style="45" customWidth="1"/>
    <col min="4366" max="4366" width="18.85546875" style="45" customWidth="1"/>
    <col min="4367" max="4367" width="10.28515625" style="45" customWidth="1"/>
    <col min="4368" max="4368" width="11.42578125" style="45"/>
    <col min="4369" max="4369" width="12.140625" style="45" customWidth="1"/>
    <col min="4370" max="4370" width="10.5703125" style="45" customWidth="1"/>
    <col min="4371" max="4371" width="12.42578125" style="45" customWidth="1"/>
    <col min="4372" max="4372" width="15.140625" style="45" customWidth="1"/>
    <col min="4373" max="4373" width="13.5703125" style="45" customWidth="1"/>
    <col min="4374" max="4374" width="13.140625" style="45" customWidth="1"/>
    <col min="4375" max="4375" width="15.7109375" style="45" customWidth="1"/>
    <col min="4376" max="4376" width="37.5703125" style="45" customWidth="1"/>
    <col min="4377" max="4598" width="11.42578125" style="45"/>
    <col min="4599" max="4599" width="10.5703125" style="45" customWidth="1"/>
    <col min="4600" max="4600" width="4.85546875" style="45" customWidth="1"/>
    <col min="4601" max="4601" width="32.42578125" style="45" customWidth="1"/>
    <col min="4602" max="4602" width="9.85546875" style="45" customWidth="1"/>
    <col min="4603" max="4603" width="10.140625" style="45" customWidth="1"/>
    <col min="4604" max="4604" width="12.28515625" style="45" customWidth="1"/>
    <col min="4605" max="4605" width="15.42578125" style="45" customWidth="1"/>
    <col min="4606" max="4606" width="11.85546875" style="45" customWidth="1"/>
    <col min="4607" max="4607" width="13.28515625" style="45" customWidth="1"/>
    <col min="4608" max="4608" width="15.28515625" style="45" customWidth="1"/>
    <col min="4609" max="4609" width="11.85546875" style="45" customWidth="1"/>
    <col min="4610" max="4610" width="6.140625" style="45" customWidth="1"/>
    <col min="4611" max="4611" width="11.85546875" style="45" customWidth="1"/>
    <col min="4612" max="4612" width="9.42578125" style="45" customWidth="1"/>
    <col min="4613" max="4613" width="14.7109375" style="45" customWidth="1"/>
    <col min="4614" max="4614" width="11.5703125" style="45" customWidth="1"/>
    <col min="4615" max="4615" width="0.42578125" style="45" customWidth="1"/>
    <col min="4616" max="4616" width="10.5703125" style="45" bestFit="1" customWidth="1"/>
    <col min="4617" max="4617" width="12.28515625" style="45" customWidth="1"/>
    <col min="4618" max="4618" width="12.5703125" style="45" customWidth="1"/>
    <col min="4619" max="4619" width="10.5703125" style="45" customWidth="1"/>
    <col min="4620" max="4620" width="10.140625" style="45" customWidth="1"/>
    <col min="4621" max="4621" width="8.42578125" style="45" customWidth="1"/>
    <col min="4622" max="4622" width="18.85546875" style="45" customWidth="1"/>
    <col min="4623" max="4623" width="10.28515625" style="45" customWidth="1"/>
    <col min="4624" max="4624" width="11.42578125" style="45"/>
    <col min="4625" max="4625" width="12.140625" style="45" customWidth="1"/>
    <col min="4626" max="4626" width="10.5703125" style="45" customWidth="1"/>
    <col min="4627" max="4627" width="12.42578125" style="45" customWidth="1"/>
    <col min="4628" max="4628" width="15.140625" style="45" customWidth="1"/>
    <col min="4629" max="4629" width="13.5703125" style="45" customWidth="1"/>
    <col min="4630" max="4630" width="13.140625" style="45" customWidth="1"/>
    <col min="4631" max="4631" width="15.7109375" style="45" customWidth="1"/>
    <col min="4632" max="4632" width="37.5703125" style="45" customWidth="1"/>
    <col min="4633" max="4854" width="11.42578125" style="45"/>
    <col min="4855" max="4855" width="10.5703125" style="45" customWidth="1"/>
    <col min="4856" max="4856" width="4.85546875" style="45" customWidth="1"/>
    <col min="4857" max="4857" width="32.42578125" style="45" customWidth="1"/>
    <col min="4858" max="4858" width="9.85546875" style="45" customWidth="1"/>
    <col min="4859" max="4859" width="10.140625" style="45" customWidth="1"/>
    <col min="4860" max="4860" width="12.28515625" style="45" customWidth="1"/>
    <col min="4861" max="4861" width="15.42578125" style="45" customWidth="1"/>
    <col min="4862" max="4862" width="11.85546875" style="45" customWidth="1"/>
    <col min="4863" max="4863" width="13.28515625" style="45" customWidth="1"/>
    <col min="4864" max="4864" width="15.28515625" style="45" customWidth="1"/>
    <col min="4865" max="4865" width="11.85546875" style="45" customWidth="1"/>
    <col min="4866" max="4866" width="6.140625" style="45" customWidth="1"/>
    <col min="4867" max="4867" width="11.85546875" style="45" customWidth="1"/>
    <col min="4868" max="4868" width="9.42578125" style="45" customWidth="1"/>
    <col min="4869" max="4869" width="14.7109375" style="45" customWidth="1"/>
    <col min="4870" max="4870" width="11.5703125" style="45" customWidth="1"/>
    <col min="4871" max="4871" width="0.42578125" style="45" customWidth="1"/>
    <col min="4872" max="4872" width="10.5703125" style="45" bestFit="1" customWidth="1"/>
    <col min="4873" max="4873" width="12.28515625" style="45" customWidth="1"/>
    <col min="4874" max="4874" width="12.5703125" style="45" customWidth="1"/>
    <col min="4875" max="4875" width="10.5703125" style="45" customWidth="1"/>
    <col min="4876" max="4876" width="10.140625" style="45" customWidth="1"/>
    <col min="4877" max="4877" width="8.42578125" style="45" customWidth="1"/>
    <col min="4878" max="4878" width="18.85546875" style="45" customWidth="1"/>
    <col min="4879" max="4879" width="10.28515625" style="45" customWidth="1"/>
    <col min="4880" max="4880" width="11.42578125" style="45"/>
    <col min="4881" max="4881" width="12.140625" style="45" customWidth="1"/>
    <col min="4882" max="4882" width="10.5703125" style="45" customWidth="1"/>
    <col min="4883" max="4883" width="12.42578125" style="45" customWidth="1"/>
    <col min="4884" max="4884" width="15.140625" style="45" customWidth="1"/>
    <col min="4885" max="4885" width="13.5703125" style="45" customWidth="1"/>
    <col min="4886" max="4886" width="13.140625" style="45" customWidth="1"/>
    <col min="4887" max="4887" width="15.7109375" style="45" customWidth="1"/>
    <col min="4888" max="4888" width="37.5703125" style="45" customWidth="1"/>
    <col min="4889" max="5110" width="11.42578125" style="45"/>
    <col min="5111" max="5111" width="10.5703125" style="45" customWidth="1"/>
    <col min="5112" max="5112" width="4.85546875" style="45" customWidth="1"/>
    <col min="5113" max="5113" width="32.42578125" style="45" customWidth="1"/>
    <col min="5114" max="5114" width="9.85546875" style="45" customWidth="1"/>
    <col min="5115" max="5115" width="10.140625" style="45" customWidth="1"/>
    <col min="5116" max="5116" width="12.28515625" style="45" customWidth="1"/>
    <col min="5117" max="5117" width="15.42578125" style="45" customWidth="1"/>
    <col min="5118" max="5118" width="11.85546875" style="45" customWidth="1"/>
    <col min="5119" max="5119" width="13.28515625" style="45" customWidth="1"/>
    <col min="5120" max="5120" width="15.28515625" style="45" customWidth="1"/>
    <col min="5121" max="5121" width="11.85546875" style="45" customWidth="1"/>
    <col min="5122" max="5122" width="6.140625" style="45" customWidth="1"/>
    <col min="5123" max="5123" width="11.85546875" style="45" customWidth="1"/>
    <col min="5124" max="5124" width="9.42578125" style="45" customWidth="1"/>
    <col min="5125" max="5125" width="14.7109375" style="45" customWidth="1"/>
    <col min="5126" max="5126" width="11.5703125" style="45" customWidth="1"/>
    <col min="5127" max="5127" width="0.42578125" style="45" customWidth="1"/>
    <col min="5128" max="5128" width="10.5703125" style="45" bestFit="1" customWidth="1"/>
    <col min="5129" max="5129" width="12.28515625" style="45" customWidth="1"/>
    <col min="5130" max="5130" width="12.5703125" style="45" customWidth="1"/>
    <col min="5131" max="5131" width="10.5703125" style="45" customWidth="1"/>
    <col min="5132" max="5132" width="10.140625" style="45" customWidth="1"/>
    <col min="5133" max="5133" width="8.42578125" style="45" customWidth="1"/>
    <col min="5134" max="5134" width="18.85546875" style="45" customWidth="1"/>
    <col min="5135" max="5135" width="10.28515625" style="45" customWidth="1"/>
    <col min="5136" max="5136" width="11.42578125" style="45"/>
    <col min="5137" max="5137" width="12.140625" style="45" customWidth="1"/>
    <col min="5138" max="5138" width="10.5703125" style="45" customWidth="1"/>
    <col min="5139" max="5139" width="12.42578125" style="45" customWidth="1"/>
    <col min="5140" max="5140" width="15.140625" style="45" customWidth="1"/>
    <col min="5141" max="5141" width="13.5703125" style="45" customWidth="1"/>
    <col min="5142" max="5142" width="13.140625" style="45" customWidth="1"/>
    <col min="5143" max="5143" width="15.7109375" style="45" customWidth="1"/>
    <col min="5144" max="5144" width="37.5703125" style="45" customWidth="1"/>
    <col min="5145" max="5366" width="11.42578125" style="45"/>
    <col min="5367" max="5367" width="10.5703125" style="45" customWidth="1"/>
    <col min="5368" max="5368" width="4.85546875" style="45" customWidth="1"/>
    <col min="5369" max="5369" width="32.42578125" style="45" customWidth="1"/>
    <col min="5370" max="5370" width="9.85546875" style="45" customWidth="1"/>
    <col min="5371" max="5371" width="10.140625" style="45" customWidth="1"/>
    <col min="5372" max="5372" width="12.28515625" style="45" customWidth="1"/>
    <col min="5373" max="5373" width="15.42578125" style="45" customWidth="1"/>
    <col min="5374" max="5374" width="11.85546875" style="45" customWidth="1"/>
    <col min="5375" max="5375" width="13.28515625" style="45" customWidth="1"/>
    <col min="5376" max="5376" width="15.28515625" style="45" customWidth="1"/>
    <col min="5377" max="5377" width="11.85546875" style="45" customWidth="1"/>
    <col min="5378" max="5378" width="6.140625" style="45" customWidth="1"/>
    <col min="5379" max="5379" width="11.85546875" style="45" customWidth="1"/>
    <col min="5380" max="5380" width="9.42578125" style="45" customWidth="1"/>
    <col min="5381" max="5381" width="14.7109375" style="45" customWidth="1"/>
    <col min="5382" max="5382" width="11.5703125" style="45" customWidth="1"/>
    <col min="5383" max="5383" width="0.42578125" style="45" customWidth="1"/>
    <col min="5384" max="5384" width="10.5703125" style="45" bestFit="1" customWidth="1"/>
    <col min="5385" max="5385" width="12.28515625" style="45" customWidth="1"/>
    <col min="5386" max="5386" width="12.5703125" style="45" customWidth="1"/>
    <col min="5387" max="5387" width="10.5703125" style="45" customWidth="1"/>
    <col min="5388" max="5388" width="10.140625" style="45" customWidth="1"/>
    <col min="5389" max="5389" width="8.42578125" style="45" customWidth="1"/>
    <col min="5390" max="5390" width="18.85546875" style="45" customWidth="1"/>
    <col min="5391" max="5391" width="10.28515625" style="45" customWidth="1"/>
    <col min="5392" max="5392" width="11.42578125" style="45"/>
    <col min="5393" max="5393" width="12.140625" style="45" customWidth="1"/>
    <col min="5394" max="5394" width="10.5703125" style="45" customWidth="1"/>
    <col min="5395" max="5395" width="12.42578125" style="45" customWidth="1"/>
    <col min="5396" max="5396" width="15.140625" style="45" customWidth="1"/>
    <col min="5397" max="5397" width="13.5703125" style="45" customWidth="1"/>
    <col min="5398" max="5398" width="13.140625" style="45" customWidth="1"/>
    <col min="5399" max="5399" width="15.7109375" style="45" customWidth="1"/>
    <col min="5400" max="5400" width="37.5703125" style="45" customWidth="1"/>
    <col min="5401" max="5622" width="11.42578125" style="45"/>
    <col min="5623" max="5623" width="10.5703125" style="45" customWidth="1"/>
    <col min="5624" max="5624" width="4.85546875" style="45" customWidth="1"/>
    <col min="5625" max="5625" width="32.42578125" style="45" customWidth="1"/>
    <col min="5626" max="5626" width="9.85546875" style="45" customWidth="1"/>
    <col min="5627" max="5627" width="10.140625" style="45" customWidth="1"/>
    <col min="5628" max="5628" width="12.28515625" style="45" customWidth="1"/>
    <col min="5629" max="5629" width="15.42578125" style="45" customWidth="1"/>
    <col min="5630" max="5630" width="11.85546875" style="45" customWidth="1"/>
    <col min="5631" max="5631" width="13.28515625" style="45" customWidth="1"/>
    <col min="5632" max="5632" width="15.28515625" style="45" customWidth="1"/>
    <col min="5633" max="5633" width="11.85546875" style="45" customWidth="1"/>
    <col min="5634" max="5634" width="6.140625" style="45" customWidth="1"/>
    <col min="5635" max="5635" width="11.85546875" style="45" customWidth="1"/>
    <col min="5636" max="5636" width="9.42578125" style="45" customWidth="1"/>
    <col min="5637" max="5637" width="14.7109375" style="45" customWidth="1"/>
    <col min="5638" max="5638" width="11.5703125" style="45" customWidth="1"/>
    <col min="5639" max="5639" width="0.42578125" style="45" customWidth="1"/>
    <col min="5640" max="5640" width="10.5703125" style="45" bestFit="1" customWidth="1"/>
    <col min="5641" max="5641" width="12.28515625" style="45" customWidth="1"/>
    <col min="5642" max="5642" width="12.5703125" style="45" customWidth="1"/>
    <col min="5643" max="5643" width="10.5703125" style="45" customWidth="1"/>
    <col min="5644" max="5644" width="10.140625" style="45" customWidth="1"/>
    <col min="5645" max="5645" width="8.42578125" style="45" customWidth="1"/>
    <col min="5646" max="5646" width="18.85546875" style="45" customWidth="1"/>
    <col min="5647" max="5647" width="10.28515625" style="45" customWidth="1"/>
    <col min="5648" max="5648" width="11.42578125" style="45"/>
    <col min="5649" max="5649" width="12.140625" style="45" customWidth="1"/>
    <col min="5650" max="5650" width="10.5703125" style="45" customWidth="1"/>
    <col min="5651" max="5651" width="12.42578125" style="45" customWidth="1"/>
    <col min="5652" max="5652" width="15.140625" style="45" customWidth="1"/>
    <col min="5653" max="5653" width="13.5703125" style="45" customWidth="1"/>
    <col min="5654" max="5654" width="13.140625" style="45" customWidth="1"/>
    <col min="5655" max="5655" width="15.7109375" style="45" customWidth="1"/>
    <col min="5656" max="5656" width="37.5703125" style="45" customWidth="1"/>
    <col min="5657" max="5878" width="11.42578125" style="45"/>
    <col min="5879" max="5879" width="10.5703125" style="45" customWidth="1"/>
    <col min="5880" max="5880" width="4.85546875" style="45" customWidth="1"/>
    <col min="5881" max="5881" width="32.42578125" style="45" customWidth="1"/>
    <col min="5882" max="5882" width="9.85546875" style="45" customWidth="1"/>
    <col min="5883" max="5883" width="10.140625" style="45" customWidth="1"/>
    <col min="5884" max="5884" width="12.28515625" style="45" customWidth="1"/>
    <col min="5885" max="5885" width="15.42578125" style="45" customWidth="1"/>
    <col min="5886" max="5886" width="11.85546875" style="45" customWidth="1"/>
    <col min="5887" max="5887" width="13.28515625" style="45" customWidth="1"/>
    <col min="5888" max="5888" width="15.28515625" style="45" customWidth="1"/>
    <col min="5889" max="5889" width="11.85546875" style="45" customWidth="1"/>
    <col min="5890" max="5890" width="6.140625" style="45" customWidth="1"/>
    <col min="5891" max="5891" width="11.85546875" style="45" customWidth="1"/>
    <col min="5892" max="5892" width="9.42578125" style="45" customWidth="1"/>
    <col min="5893" max="5893" width="14.7109375" style="45" customWidth="1"/>
    <col min="5894" max="5894" width="11.5703125" style="45" customWidth="1"/>
    <col min="5895" max="5895" width="0.42578125" style="45" customWidth="1"/>
    <col min="5896" max="5896" width="10.5703125" style="45" bestFit="1" customWidth="1"/>
    <col min="5897" max="5897" width="12.28515625" style="45" customWidth="1"/>
    <col min="5898" max="5898" width="12.5703125" style="45" customWidth="1"/>
    <col min="5899" max="5899" width="10.5703125" style="45" customWidth="1"/>
    <col min="5900" max="5900" width="10.140625" style="45" customWidth="1"/>
    <col min="5901" max="5901" width="8.42578125" style="45" customWidth="1"/>
    <col min="5902" max="5902" width="18.85546875" style="45" customWidth="1"/>
    <col min="5903" max="5903" width="10.28515625" style="45" customWidth="1"/>
    <col min="5904" max="5904" width="11.42578125" style="45"/>
    <col min="5905" max="5905" width="12.140625" style="45" customWidth="1"/>
    <col min="5906" max="5906" width="10.5703125" style="45" customWidth="1"/>
    <col min="5907" max="5907" width="12.42578125" style="45" customWidth="1"/>
    <col min="5908" max="5908" width="15.140625" style="45" customWidth="1"/>
    <col min="5909" max="5909" width="13.5703125" style="45" customWidth="1"/>
    <col min="5910" max="5910" width="13.140625" style="45" customWidth="1"/>
    <col min="5911" max="5911" width="15.7109375" style="45" customWidth="1"/>
    <col min="5912" max="5912" width="37.5703125" style="45" customWidth="1"/>
    <col min="5913" max="6134" width="11.42578125" style="45"/>
    <col min="6135" max="6135" width="10.5703125" style="45" customWidth="1"/>
    <col min="6136" max="6136" width="4.85546875" style="45" customWidth="1"/>
    <col min="6137" max="6137" width="32.42578125" style="45" customWidth="1"/>
    <col min="6138" max="6138" width="9.85546875" style="45" customWidth="1"/>
    <col min="6139" max="6139" width="10.140625" style="45" customWidth="1"/>
    <col min="6140" max="6140" width="12.28515625" style="45" customWidth="1"/>
    <col min="6141" max="6141" width="15.42578125" style="45" customWidth="1"/>
    <col min="6142" max="6142" width="11.85546875" style="45" customWidth="1"/>
    <col min="6143" max="6143" width="13.28515625" style="45" customWidth="1"/>
    <col min="6144" max="6144" width="15.28515625" style="45" customWidth="1"/>
    <col min="6145" max="6145" width="11.85546875" style="45" customWidth="1"/>
    <col min="6146" max="6146" width="6.140625" style="45" customWidth="1"/>
    <col min="6147" max="6147" width="11.85546875" style="45" customWidth="1"/>
    <col min="6148" max="6148" width="9.42578125" style="45" customWidth="1"/>
    <col min="6149" max="6149" width="14.7109375" style="45" customWidth="1"/>
    <col min="6150" max="6150" width="11.5703125" style="45" customWidth="1"/>
    <col min="6151" max="6151" width="0.42578125" style="45" customWidth="1"/>
    <col min="6152" max="6152" width="10.5703125" style="45" bestFit="1" customWidth="1"/>
    <col min="6153" max="6153" width="12.28515625" style="45" customWidth="1"/>
    <col min="6154" max="6154" width="12.5703125" style="45" customWidth="1"/>
    <col min="6155" max="6155" width="10.5703125" style="45" customWidth="1"/>
    <col min="6156" max="6156" width="10.140625" style="45" customWidth="1"/>
    <col min="6157" max="6157" width="8.42578125" style="45" customWidth="1"/>
    <col min="6158" max="6158" width="18.85546875" style="45" customWidth="1"/>
    <col min="6159" max="6159" width="10.28515625" style="45" customWidth="1"/>
    <col min="6160" max="6160" width="11.42578125" style="45"/>
    <col min="6161" max="6161" width="12.140625" style="45" customWidth="1"/>
    <col min="6162" max="6162" width="10.5703125" style="45" customWidth="1"/>
    <col min="6163" max="6163" width="12.42578125" style="45" customWidth="1"/>
    <col min="6164" max="6164" width="15.140625" style="45" customWidth="1"/>
    <col min="6165" max="6165" width="13.5703125" style="45" customWidth="1"/>
    <col min="6166" max="6166" width="13.140625" style="45" customWidth="1"/>
    <col min="6167" max="6167" width="15.7109375" style="45" customWidth="1"/>
    <col min="6168" max="6168" width="37.5703125" style="45" customWidth="1"/>
    <col min="6169" max="6390" width="11.42578125" style="45"/>
    <col min="6391" max="6391" width="10.5703125" style="45" customWidth="1"/>
    <col min="6392" max="6392" width="4.85546875" style="45" customWidth="1"/>
    <col min="6393" max="6393" width="32.42578125" style="45" customWidth="1"/>
    <col min="6394" max="6394" width="9.85546875" style="45" customWidth="1"/>
    <col min="6395" max="6395" width="10.140625" style="45" customWidth="1"/>
    <col min="6396" max="6396" width="12.28515625" style="45" customWidth="1"/>
    <col min="6397" max="6397" width="15.42578125" style="45" customWidth="1"/>
    <col min="6398" max="6398" width="11.85546875" style="45" customWidth="1"/>
    <col min="6399" max="6399" width="13.28515625" style="45" customWidth="1"/>
    <col min="6400" max="6400" width="15.28515625" style="45" customWidth="1"/>
    <col min="6401" max="6401" width="11.85546875" style="45" customWidth="1"/>
    <col min="6402" max="6402" width="6.140625" style="45" customWidth="1"/>
    <col min="6403" max="6403" width="11.85546875" style="45" customWidth="1"/>
    <col min="6404" max="6404" width="9.42578125" style="45" customWidth="1"/>
    <col min="6405" max="6405" width="14.7109375" style="45" customWidth="1"/>
    <col min="6406" max="6406" width="11.5703125" style="45" customWidth="1"/>
    <col min="6407" max="6407" width="0.42578125" style="45" customWidth="1"/>
    <col min="6408" max="6408" width="10.5703125" style="45" bestFit="1" customWidth="1"/>
    <col min="6409" max="6409" width="12.28515625" style="45" customWidth="1"/>
    <col min="6410" max="6410" width="12.5703125" style="45" customWidth="1"/>
    <col min="6411" max="6411" width="10.5703125" style="45" customWidth="1"/>
    <col min="6412" max="6412" width="10.140625" style="45" customWidth="1"/>
    <col min="6413" max="6413" width="8.42578125" style="45" customWidth="1"/>
    <col min="6414" max="6414" width="18.85546875" style="45" customWidth="1"/>
    <col min="6415" max="6415" width="10.28515625" style="45" customWidth="1"/>
    <col min="6416" max="6416" width="11.42578125" style="45"/>
    <col min="6417" max="6417" width="12.140625" style="45" customWidth="1"/>
    <col min="6418" max="6418" width="10.5703125" style="45" customWidth="1"/>
    <col min="6419" max="6419" width="12.42578125" style="45" customWidth="1"/>
    <col min="6420" max="6420" width="15.140625" style="45" customWidth="1"/>
    <col min="6421" max="6421" width="13.5703125" style="45" customWidth="1"/>
    <col min="6422" max="6422" width="13.140625" style="45" customWidth="1"/>
    <col min="6423" max="6423" width="15.7109375" style="45" customWidth="1"/>
    <col min="6424" max="6424" width="37.5703125" style="45" customWidth="1"/>
    <col min="6425" max="6646" width="11.42578125" style="45"/>
    <col min="6647" max="6647" width="10.5703125" style="45" customWidth="1"/>
    <col min="6648" max="6648" width="4.85546875" style="45" customWidth="1"/>
    <col min="6649" max="6649" width="32.42578125" style="45" customWidth="1"/>
    <col min="6650" max="6650" width="9.85546875" style="45" customWidth="1"/>
    <col min="6651" max="6651" width="10.140625" style="45" customWidth="1"/>
    <col min="6652" max="6652" width="12.28515625" style="45" customWidth="1"/>
    <col min="6653" max="6653" width="15.42578125" style="45" customWidth="1"/>
    <col min="6654" max="6654" width="11.85546875" style="45" customWidth="1"/>
    <col min="6655" max="6655" width="13.28515625" style="45" customWidth="1"/>
    <col min="6656" max="6656" width="15.28515625" style="45" customWidth="1"/>
    <col min="6657" max="6657" width="11.85546875" style="45" customWidth="1"/>
    <col min="6658" max="6658" width="6.140625" style="45" customWidth="1"/>
    <col min="6659" max="6659" width="11.85546875" style="45" customWidth="1"/>
    <col min="6660" max="6660" width="9.42578125" style="45" customWidth="1"/>
    <col min="6661" max="6661" width="14.7109375" style="45" customWidth="1"/>
    <col min="6662" max="6662" width="11.5703125" style="45" customWidth="1"/>
    <col min="6663" max="6663" width="0.42578125" style="45" customWidth="1"/>
    <col min="6664" max="6664" width="10.5703125" style="45" bestFit="1" customWidth="1"/>
    <col min="6665" max="6665" width="12.28515625" style="45" customWidth="1"/>
    <col min="6666" max="6666" width="12.5703125" style="45" customWidth="1"/>
    <col min="6667" max="6667" width="10.5703125" style="45" customWidth="1"/>
    <col min="6668" max="6668" width="10.140625" style="45" customWidth="1"/>
    <col min="6669" max="6669" width="8.42578125" style="45" customWidth="1"/>
    <col min="6670" max="6670" width="18.85546875" style="45" customWidth="1"/>
    <col min="6671" max="6671" width="10.28515625" style="45" customWidth="1"/>
    <col min="6672" max="6672" width="11.42578125" style="45"/>
    <col min="6673" max="6673" width="12.140625" style="45" customWidth="1"/>
    <col min="6674" max="6674" width="10.5703125" style="45" customWidth="1"/>
    <col min="6675" max="6675" width="12.42578125" style="45" customWidth="1"/>
    <col min="6676" max="6676" width="15.140625" style="45" customWidth="1"/>
    <col min="6677" max="6677" width="13.5703125" style="45" customWidth="1"/>
    <col min="6678" max="6678" width="13.140625" style="45" customWidth="1"/>
    <col min="6679" max="6679" width="15.7109375" style="45" customWidth="1"/>
    <col min="6680" max="6680" width="37.5703125" style="45" customWidth="1"/>
    <col min="6681" max="6902" width="11.42578125" style="45"/>
    <col min="6903" max="6903" width="10.5703125" style="45" customWidth="1"/>
    <col min="6904" max="6904" width="4.85546875" style="45" customWidth="1"/>
    <col min="6905" max="6905" width="32.42578125" style="45" customWidth="1"/>
    <col min="6906" max="6906" width="9.85546875" style="45" customWidth="1"/>
    <col min="6907" max="6907" width="10.140625" style="45" customWidth="1"/>
    <col min="6908" max="6908" width="12.28515625" style="45" customWidth="1"/>
    <col min="6909" max="6909" width="15.42578125" style="45" customWidth="1"/>
    <col min="6910" max="6910" width="11.85546875" style="45" customWidth="1"/>
    <col min="6911" max="6911" width="13.28515625" style="45" customWidth="1"/>
    <col min="6912" max="6912" width="15.28515625" style="45" customWidth="1"/>
    <col min="6913" max="6913" width="11.85546875" style="45" customWidth="1"/>
    <col min="6914" max="6914" width="6.140625" style="45" customWidth="1"/>
    <col min="6915" max="6915" width="11.85546875" style="45" customWidth="1"/>
    <col min="6916" max="6916" width="9.42578125" style="45" customWidth="1"/>
    <col min="6917" max="6917" width="14.7109375" style="45" customWidth="1"/>
    <col min="6918" max="6918" width="11.5703125" style="45" customWidth="1"/>
    <col min="6919" max="6919" width="0.42578125" style="45" customWidth="1"/>
    <col min="6920" max="6920" width="10.5703125" style="45" bestFit="1" customWidth="1"/>
    <col min="6921" max="6921" width="12.28515625" style="45" customWidth="1"/>
    <col min="6922" max="6922" width="12.5703125" style="45" customWidth="1"/>
    <col min="6923" max="6923" width="10.5703125" style="45" customWidth="1"/>
    <col min="6924" max="6924" width="10.140625" style="45" customWidth="1"/>
    <col min="6925" max="6925" width="8.42578125" style="45" customWidth="1"/>
    <col min="6926" max="6926" width="18.85546875" style="45" customWidth="1"/>
    <col min="6927" max="6927" width="10.28515625" style="45" customWidth="1"/>
    <col min="6928" max="6928" width="11.42578125" style="45"/>
    <col min="6929" max="6929" width="12.140625" style="45" customWidth="1"/>
    <col min="6930" max="6930" width="10.5703125" style="45" customWidth="1"/>
    <col min="6931" max="6931" width="12.42578125" style="45" customWidth="1"/>
    <col min="6932" max="6932" width="15.140625" style="45" customWidth="1"/>
    <col min="6933" max="6933" width="13.5703125" style="45" customWidth="1"/>
    <col min="6934" max="6934" width="13.140625" style="45" customWidth="1"/>
    <col min="6935" max="6935" width="15.7109375" style="45" customWidth="1"/>
    <col min="6936" max="6936" width="37.5703125" style="45" customWidth="1"/>
    <col min="6937" max="7158" width="11.42578125" style="45"/>
    <col min="7159" max="7159" width="10.5703125" style="45" customWidth="1"/>
    <col min="7160" max="7160" width="4.85546875" style="45" customWidth="1"/>
    <col min="7161" max="7161" width="32.42578125" style="45" customWidth="1"/>
    <col min="7162" max="7162" width="9.85546875" style="45" customWidth="1"/>
    <col min="7163" max="7163" width="10.140625" style="45" customWidth="1"/>
    <col min="7164" max="7164" width="12.28515625" style="45" customWidth="1"/>
    <col min="7165" max="7165" width="15.42578125" style="45" customWidth="1"/>
    <col min="7166" max="7166" width="11.85546875" style="45" customWidth="1"/>
    <col min="7167" max="7167" width="13.28515625" style="45" customWidth="1"/>
    <col min="7168" max="7168" width="15.28515625" style="45" customWidth="1"/>
    <col min="7169" max="7169" width="11.85546875" style="45" customWidth="1"/>
    <col min="7170" max="7170" width="6.140625" style="45" customWidth="1"/>
    <col min="7171" max="7171" width="11.85546875" style="45" customWidth="1"/>
    <col min="7172" max="7172" width="9.42578125" style="45" customWidth="1"/>
    <col min="7173" max="7173" width="14.7109375" style="45" customWidth="1"/>
    <col min="7174" max="7174" width="11.5703125" style="45" customWidth="1"/>
    <col min="7175" max="7175" width="0.42578125" style="45" customWidth="1"/>
    <col min="7176" max="7176" width="10.5703125" style="45" bestFit="1" customWidth="1"/>
    <col min="7177" max="7177" width="12.28515625" style="45" customWidth="1"/>
    <col min="7178" max="7178" width="12.5703125" style="45" customWidth="1"/>
    <col min="7179" max="7179" width="10.5703125" style="45" customWidth="1"/>
    <col min="7180" max="7180" width="10.140625" style="45" customWidth="1"/>
    <col min="7181" max="7181" width="8.42578125" style="45" customWidth="1"/>
    <col min="7182" max="7182" width="18.85546875" style="45" customWidth="1"/>
    <col min="7183" max="7183" width="10.28515625" style="45" customWidth="1"/>
    <col min="7184" max="7184" width="11.42578125" style="45"/>
    <col min="7185" max="7185" width="12.140625" style="45" customWidth="1"/>
    <col min="7186" max="7186" width="10.5703125" style="45" customWidth="1"/>
    <col min="7187" max="7187" width="12.42578125" style="45" customWidth="1"/>
    <col min="7188" max="7188" width="15.140625" style="45" customWidth="1"/>
    <col min="7189" max="7189" width="13.5703125" style="45" customWidth="1"/>
    <col min="7190" max="7190" width="13.140625" style="45" customWidth="1"/>
    <col min="7191" max="7191" width="15.7109375" style="45" customWidth="1"/>
    <col min="7192" max="7192" width="37.5703125" style="45" customWidth="1"/>
    <col min="7193" max="7414" width="11.42578125" style="45"/>
    <col min="7415" max="7415" width="10.5703125" style="45" customWidth="1"/>
    <col min="7416" max="7416" width="4.85546875" style="45" customWidth="1"/>
    <col min="7417" max="7417" width="32.42578125" style="45" customWidth="1"/>
    <col min="7418" max="7418" width="9.85546875" style="45" customWidth="1"/>
    <col min="7419" max="7419" width="10.140625" style="45" customWidth="1"/>
    <col min="7420" max="7420" width="12.28515625" style="45" customWidth="1"/>
    <col min="7421" max="7421" width="15.42578125" style="45" customWidth="1"/>
    <col min="7422" max="7422" width="11.85546875" style="45" customWidth="1"/>
    <col min="7423" max="7423" width="13.28515625" style="45" customWidth="1"/>
    <col min="7424" max="7424" width="15.28515625" style="45" customWidth="1"/>
    <col min="7425" max="7425" width="11.85546875" style="45" customWidth="1"/>
    <col min="7426" max="7426" width="6.140625" style="45" customWidth="1"/>
    <col min="7427" max="7427" width="11.85546875" style="45" customWidth="1"/>
    <col min="7428" max="7428" width="9.42578125" style="45" customWidth="1"/>
    <col min="7429" max="7429" width="14.7109375" style="45" customWidth="1"/>
    <col min="7430" max="7430" width="11.5703125" style="45" customWidth="1"/>
    <col min="7431" max="7431" width="0.42578125" style="45" customWidth="1"/>
    <col min="7432" max="7432" width="10.5703125" style="45" bestFit="1" customWidth="1"/>
    <col min="7433" max="7433" width="12.28515625" style="45" customWidth="1"/>
    <col min="7434" max="7434" width="12.5703125" style="45" customWidth="1"/>
    <col min="7435" max="7435" width="10.5703125" style="45" customWidth="1"/>
    <col min="7436" max="7436" width="10.140625" style="45" customWidth="1"/>
    <col min="7437" max="7437" width="8.42578125" style="45" customWidth="1"/>
    <col min="7438" max="7438" width="18.85546875" style="45" customWidth="1"/>
    <col min="7439" max="7439" width="10.28515625" style="45" customWidth="1"/>
    <col min="7440" max="7440" width="11.42578125" style="45"/>
    <col min="7441" max="7441" width="12.140625" style="45" customWidth="1"/>
    <col min="7442" max="7442" width="10.5703125" style="45" customWidth="1"/>
    <col min="7443" max="7443" width="12.42578125" style="45" customWidth="1"/>
    <col min="7444" max="7444" width="15.140625" style="45" customWidth="1"/>
    <col min="7445" max="7445" width="13.5703125" style="45" customWidth="1"/>
    <col min="7446" max="7446" width="13.140625" style="45" customWidth="1"/>
    <col min="7447" max="7447" width="15.7109375" style="45" customWidth="1"/>
    <col min="7448" max="7448" width="37.5703125" style="45" customWidth="1"/>
    <col min="7449" max="7670" width="11.42578125" style="45"/>
    <col min="7671" max="7671" width="10.5703125" style="45" customWidth="1"/>
    <col min="7672" max="7672" width="4.85546875" style="45" customWidth="1"/>
    <col min="7673" max="7673" width="32.42578125" style="45" customWidth="1"/>
    <col min="7674" max="7674" width="9.85546875" style="45" customWidth="1"/>
    <col min="7675" max="7675" width="10.140625" style="45" customWidth="1"/>
    <col min="7676" max="7676" width="12.28515625" style="45" customWidth="1"/>
    <col min="7677" max="7677" width="15.42578125" style="45" customWidth="1"/>
    <col min="7678" max="7678" width="11.85546875" style="45" customWidth="1"/>
    <col min="7679" max="7679" width="13.28515625" style="45" customWidth="1"/>
    <col min="7680" max="7680" width="15.28515625" style="45" customWidth="1"/>
    <col min="7681" max="7681" width="11.85546875" style="45" customWidth="1"/>
    <col min="7682" max="7682" width="6.140625" style="45" customWidth="1"/>
    <col min="7683" max="7683" width="11.85546875" style="45" customWidth="1"/>
    <col min="7684" max="7684" width="9.42578125" style="45" customWidth="1"/>
    <col min="7685" max="7685" width="14.7109375" style="45" customWidth="1"/>
    <col min="7686" max="7686" width="11.5703125" style="45" customWidth="1"/>
    <col min="7687" max="7687" width="0.42578125" style="45" customWidth="1"/>
    <col min="7688" max="7688" width="10.5703125" style="45" bestFit="1" customWidth="1"/>
    <col min="7689" max="7689" width="12.28515625" style="45" customWidth="1"/>
    <col min="7690" max="7690" width="12.5703125" style="45" customWidth="1"/>
    <col min="7691" max="7691" width="10.5703125" style="45" customWidth="1"/>
    <col min="7692" max="7692" width="10.140625" style="45" customWidth="1"/>
    <col min="7693" max="7693" width="8.42578125" style="45" customWidth="1"/>
    <col min="7694" max="7694" width="18.85546875" style="45" customWidth="1"/>
    <col min="7695" max="7695" width="10.28515625" style="45" customWidth="1"/>
    <col min="7696" max="7696" width="11.42578125" style="45"/>
    <col min="7697" max="7697" width="12.140625" style="45" customWidth="1"/>
    <col min="7698" max="7698" width="10.5703125" style="45" customWidth="1"/>
    <col min="7699" max="7699" width="12.42578125" style="45" customWidth="1"/>
    <col min="7700" max="7700" width="15.140625" style="45" customWidth="1"/>
    <col min="7701" max="7701" width="13.5703125" style="45" customWidth="1"/>
    <col min="7702" max="7702" width="13.140625" style="45" customWidth="1"/>
    <col min="7703" max="7703" width="15.7109375" style="45" customWidth="1"/>
    <col min="7704" max="7704" width="37.5703125" style="45" customWidth="1"/>
    <col min="7705" max="7926" width="11.42578125" style="45"/>
    <col min="7927" max="7927" width="10.5703125" style="45" customWidth="1"/>
    <col min="7928" max="7928" width="4.85546875" style="45" customWidth="1"/>
    <col min="7929" max="7929" width="32.42578125" style="45" customWidth="1"/>
    <col min="7930" max="7930" width="9.85546875" style="45" customWidth="1"/>
    <col min="7931" max="7931" width="10.140625" style="45" customWidth="1"/>
    <col min="7932" max="7932" width="12.28515625" style="45" customWidth="1"/>
    <col min="7933" max="7933" width="15.42578125" style="45" customWidth="1"/>
    <col min="7934" max="7934" width="11.85546875" style="45" customWidth="1"/>
    <col min="7935" max="7935" width="13.28515625" style="45" customWidth="1"/>
    <col min="7936" max="7936" width="15.28515625" style="45" customWidth="1"/>
    <col min="7937" max="7937" width="11.85546875" style="45" customWidth="1"/>
    <col min="7938" max="7938" width="6.140625" style="45" customWidth="1"/>
    <col min="7939" max="7939" width="11.85546875" style="45" customWidth="1"/>
    <col min="7940" max="7940" width="9.42578125" style="45" customWidth="1"/>
    <col min="7941" max="7941" width="14.7109375" style="45" customWidth="1"/>
    <col min="7942" max="7942" width="11.5703125" style="45" customWidth="1"/>
    <col min="7943" max="7943" width="0.42578125" style="45" customWidth="1"/>
    <col min="7944" max="7944" width="10.5703125" style="45" bestFit="1" customWidth="1"/>
    <col min="7945" max="7945" width="12.28515625" style="45" customWidth="1"/>
    <col min="7946" max="7946" width="12.5703125" style="45" customWidth="1"/>
    <col min="7947" max="7947" width="10.5703125" style="45" customWidth="1"/>
    <col min="7948" max="7948" width="10.140625" style="45" customWidth="1"/>
    <col min="7949" max="7949" width="8.42578125" style="45" customWidth="1"/>
    <col min="7950" max="7950" width="18.85546875" style="45" customWidth="1"/>
    <col min="7951" max="7951" width="10.28515625" style="45" customWidth="1"/>
    <col min="7952" max="7952" width="11.42578125" style="45"/>
    <col min="7953" max="7953" width="12.140625" style="45" customWidth="1"/>
    <col min="7954" max="7954" width="10.5703125" style="45" customWidth="1"/>
    <col min="7955" max="7955" width="12.42578125" style="45" customWidth="1"/>
    <col min="7956" max="7956" width="15.140625" style="45" customWidth="1"/>
    <col min="7957" max="7957" width="13.5703125" style="45" customWidth="1"/>
    <col min="7958" max="7958" width="13.140625" style="45" customWidth="1"/>
    <col min="7959" max="7959" width="15.7109375" style="45" customWidth="1"/>
    <col min="7960" max="7960" width="37.5703125" style="45" customWidth="1"/>
    <col min="7961" max="8182" width="11.42578125" style="45"/>
    <col min="8183" max="8183" width="10.5703125" style="45" customWidth="1"/>
    <col min="8184" max="8184" width="4.85546875" style="45" customWidth="1"/>
    <col min="8185" max="8185" width="32.42578125" style="45" customWidth="1"/>
    <col min="8186" max="8186" width="9.85546875" style="45" customWidth="1"/>
    <col min="8187" max="8187" width="10.140625" style="45" customWidth="1"/>
    <col min="8188" max="8188" width="12.28515625" style="45" customWidth="1"/>
    <col min="8189" max="8189" width="15.42578125" style="45" customWidth="1"/>
    <col min="8190" max="8190" width="11.85546875" style="45" customWidth="1"/>
    <col min="8191" max="8191" width="13.28515625" style="45" customWidth="1"/>
    <col min="8192" max="8192" width="15.28515625" style="45" customWidth="1"/>
    <col min="8193" max="8193" width="11.85546875" style="45" customWidth="1"/>
    <col min="8194" max="8194" width="6.140625" style="45" customWidth="1"/>
    <col min="8195" max="8195" width="11.85546875" style="45" customWidth="1"/>
    <col min="8196" max="8196" width="9.42578125" style="45" customWidth="1"/>
    <col min="8197" max="8197" width="14.7109375" style="45" customWidth="1"/>
    <col min="8198" max="8198" width="11.5703125" style="45" customWidth="1"/>
    <col min="8199" max="8199" width="0.42578125" style="45" customWidth="1"/>
    <col min="8200" max="8200" width="10.5703125" style="45" bestFit="1" customWidth="1"/>
    <col min="8201" max="8201" width="12.28515625" style="45" customWidth="1"/>
    <col min="8202" max="8202" width="12.5703125" style="45" customWidth="1"/>
    <col min="8203" max="8203" width="10.5703125" style="45" customWidth="1"/>
    <col min="8204" max="8204" width="10.140625" style="45" customWidth="1"/>
    <col min="8205" max="8205" width="8.42578125" style="45" customWidth="1"/>
    <col min="8206" max="8206" width="18.85546875" style="45" customWidth="1"/>
    <col min="8207" max="8207" width="10.28515625" style="45" customWidth="1"/>
    <col min="8208" max="8208" width="11.42578125" style="45"/>
    <col min="8209" max="8209" width="12.140625" style="45" customWidth="1"/>
    <col min="8210" max="8210" width="10.5703125" style="45" customWidth="1"/>
    <col min="8211" max="8211" width="12.42578125" style="45" customWidth="1"/>
    <col min="8212" max="8212" width="15.140625" style="45" customWidth="1"/>
    <col min="8213" max="8213" width="13.5703125" style="45" customWidth="1"/>
    <col min="8214" max="8214" width="13.140625" style="45" customWidth="1"/>
    <col min="8215" max="8215" width="15.7109375" style="45" customWidth="1"/>
    <col min="8216" max="8216" width="37.5703125" style="45" customWidth="1"/>
    <col min="8217" max="8438" width="11.42578125" style="45"/>
    <col min="8439" max="8439" width="10.5703125" style="45" customWidth="1"/>
    <col min="8440" max="8440" width="4.85546875" style="45" customWidth="1"/>
    <col min="8441" max="8441" width="32.42578125" style="45" customWidth="1"/>
    <col min="8442" max="8442" width="9.85546875" style="45" customWidth="1"/>
    <col min="8443" max="8443" width="10.140625" style="45" customWidth="1"/>
    <col min="8444" max="8444" width="12.28515625" style="45" customWidth="1"/>
    <col min="8445" max="8445" width="15.42578125" style="45" customWidth="1"/>
    <col min="8446" max="8446" width="11.85546875" style="45" customWidth="1"/>
    <col min="8447" max="8447" width="13.28515625" style="45" customWidth="1"/>
    <col min="8448" max="8448" width="15.28515625" style="45" customWidth="1"/>
    <col min="8449" max="8449" width="11.85546875" style="45" customWidth="1"/>
    <col min="8450" max="8450" width="6.140625" style="45" customWidth="1"/>
    <col min="8451" max="8451" width="11.85546875" style="45" customWidth="1"/>
    <col min="8452" max="8452" width="9.42578125" style="45" customWidth="1"/>
    <col min="8453" max="8453" width="14.7109375" style="45" customWidth="1"/>
    <col min="8454" max="8454" width="11.5703125" style="45" customWidth="1"/>
    <col min="8455" max="8455" width="0.42578125" style="45" customWidth="1"/>
    <col min="8456" max="8456" width="10.5703125" style="45" bestFit="1" customWidth="1"/>
    <col min="8457" max="8457" width="12.28515625" style="45" customWidth="1"/>
    <col min="8458" max="8458" width="12.5703125" style="45" customWidth="1"/>
    <col min="8459" max="8459" width="10.5703125" style="45" customWidth="1"/>
    <col min="8460" max="8460" width="10.140625" style="45" customWidth="1"/>
    <col min="8461" max="8461" width="8.42578125" style="45" customWidth="1"/>
    <col min="8462" max="8462" width="18.85546875" style="45" customWidth="1"/>
    <col min="8463" max="8463" width="10.28515625" style="45" customWidth="1"/>
    <col min="8464" max="8464" width="11.42578125" style="45"/>
    <col min="8465" max="8465" width="12.140625" style="45" customWidth="1"/>
    <col min="8466" max="8466" width="10.5703125" style="45" customWidth="1"/>
    <col min="8467" max="8467" width="12.42578125" style="45" customWidth="1"/>
    <col min="8468" max="8468" width="15.140625" style="45" customWidth="1"/>
    <col min="8469" max="8469" width="13.5703125" style="45" customWidth="1"/>
    <col min="8470" max="8470" width="13.140625" style="45" customWidth="1"/>
    <col min="8471" max="8471" width="15.7109375" style="45" customWidth="1"/>
    <col min="8472" max="8472" width="37.5703125" style="45" customWidth="1"/>
    <col min="8473" max="8694" width="11.42578125" style="45"/>
    <col min="8695" max="8695" width="10.5703125" style="45" customWidth="1"/>
    <col min="8696" max="8696" width="4.85546875" style="45" customWidth="1"/>
    <col min="8697" max="8697" width="32.42578125" style="45" customWidth="1"/>
    <col min="8698" max="8698" width="9.85546875" style="45" customWidth="1"/>
    <col min="8699" max="8699" width="10.140625" style="45" customWidth="1"/>
    <col min="8700" max="8700" width="12.28515625" style="45" customWidth="1"/>
    <col min="8701" max="8701" width="15.42578125" style="45" customWidth="1"/>
    <col min="8702" max="8702" width="11.85546875" style="45" customWidth="1"/>
    <col min="8703" max="8703" width="13.28515625" style="45" customWidth="1"/>
    <col min="8704" max="8704" width="15.28515625" style="45" customWidth="1"/>
    <col min="8705" max="8705" width="11.85546875" style="45" customWidth="1"/>
    <col min="8706" max="8706" width="6.140625" style="45" customWidth="1"/>
    <col min="8707" max="8707" width="11.85546875" style="45" customWidth="1"/>
    <col min="8708" max="8708" width="9.42578125" style="45" customWidth="1"/>
    <col min="8709" max="8709" width="14.7109375" style="45" customWidth="1"/>
    <col min="8710" max="8710" width="11.5703125" style="45" customWidth="1"/>
    <col min="8711" max="8711" width="0.42578125" style="45" customWidth="1"/>
    <col min="8712" max="8712" width="10.5703125" style="45" bestFit="1" customWidth="1"/>
    <col min="8713" max="8713" width="12.28515625" style="45" customWidth="1"/>
    <col min="8714" max="8714" width="12.5703125" style="45" customWidth="1"/>
    <col min="8715" max="8715" width="10.5703125" style="45" customWidth="1"/>
    <col min="8716" max="8716" width="10.140625" style="45" customWidth="1"/>
    <col min="8717" max="8717" width="8.42578125" style="45" customWidth="1"/>
    <col min="8718" max="8718" width="18.85546875" style="45" customWidth="1"/>
    <col min="8719" max="8719" width="10.28515625" style="45" customWidth="1"/>
    <col min="8720" max="8720" width="11.42578125" style="45"/>
    <col min="8721" max="8721" width="12.140625" style="45" customWidth="1"/>
    <col min="8722" max="8722" width="10.5703125" style="45" customWidth="1"/>
    <col min="8723" max="8723" width="12.42578125" style="45" customWidth="1"/>
    <col min="8724" max="8724" width="15.140625" style="45" customWidth="1"/>
    <col min="8725" max="8725" width="13.5703125" style="45" customWidth="1"/>
    <col min="8726" max="8726" width="13.140625" style="45" customWidth="1"/>
    <col min="8727" max="8727" width="15.7109375" style="45" customWidth="1"/>
    <col min="8728" max="8728" width="37.5703125" style="45" customWidth="1"/>
    <col min="8729" max="8950" width="11.42578125" style="45"/>
    <col min="8951" max="8951" width="10.5703125" style="45" customWidth="1"/>
    <col min="8952" max="8952" width="4.85546875" style="45" customWidth="1"/>
    <col min="8953" max="8953" width="32.42578125" style="45" customWidth="1"/>
    <col min="8954" max="8954" width="9.85546875" style="45" customWidth="1"/>
    <col min="8955" max="8955" width="10.140625" style="45" customWidth="1"/>
    <col min="8956" max="8956" width="12.28515625" style="45" customWidth="1"/>
    <col min="8957" max="8957" width="15.42578125" style="45" customWidth="1"/>
    <col min="8958" max="8958" width="11.85546875" style="45" customWidth="1"/>
    <col min="8959" max="8959" width="13.28515625" style="45" customWidth="1"/>
    <col min="8960" max="8960" width="15.28515625" style="45" customWidth="1"/>
    <col min="8961" max="8961" width="11.85546875" style="45" customWidth="1"/>
    <col min="8962" max="8962" width="6.140625" style="45" customWidth="1"/>
    <col min="8963" max="8963" width="11.85546875" style="45" customWidth="1"/>
    <col min="8964" max="8964" width="9.42578125" style="45" customWidth="1"/>
    <col min="8965" max="8965" width="14.7109375" style="45" customWidth="1"/>
    <col min="8966" max="8966" width="11.5703125" style="45" customWidth="1"/>
    <col min="8967" max="8967" width="0.42578125" style="45" customWidth="1"/>
    <col min="8968" max="8968" width="10.5703125" style="45" bestFit="1" customWidth="1"/>
    <col min="8969" max="8969" width="12.28515625" style="45" customWidth="1"/>
    <col min="8970" max="8970" width="12.5703125" style="45" customWidth="1"/>
    <col min="8971" max="8971" width="10.5703125" style="45" customWidth="1"/>
    <col min="8972" max="8972" width="10.140625" style="45" customWidth="1"/>
    <col min="8973" max="8973" width="8.42578125" style="45" customWidth="1"/>
    <col min="8974" max="8974" width="18.85546875" style="45" customWidth="1"/>
    <col min="8975" max="8975" width="10.28515625" style="45" customWidth="1"/>
    <col min="8976" max="8976" width="11.42578125" style="45"/>
    <col min="8977" max="8977" width="12.140625" style="45" customWidth="1"/>
    <col min="8978" max="8978" width="10.5703125" style="45" customWidth="1"/>
    <col min="8979" max="8979" width="12.42578125" style="45" customWidth="1"/>
    <col min="8980" max="8980" width="15.140625" style="45" customWidth="1"/>
    <col min="8981" max="8981" width="13.5703125" style="45" customWidth="1"/>
    <col min="8982" max="8982" width="13.140625" style="45" customWidth="1"/>
    <col min="8983" max="8983" width="15.7109375" style="45" customWidth="1"/>
    <col min="8984" max="8984" width="37.5703125" style="45" customWidth="1"/>
    <col min="8985" max="9206" width="11.42578125" style="45"/>
    <col min="9207" max="9207" width="10.5703125" style="45" customWidth="1"/>
    <col min="9208" max="9208" width="4.85546875" style="45" customWidth="1"/>
    <col min="9209" max="9209" width="32.42578125" style="45" customWidth="1"/>
    <col min="9210" max="9210" width="9.85546875" style="45" customWidth="1"/>
    <col min="9211" max="9211" width="10.140625" style="45" customWidth="1"/>
    <col min="9212" max="9212" width="12.28515625" style="45" customWidth="1"/>
    <col min="9213" max="9213" width="15.42578125" style="45" customWidth="1"/>
    <col min="9214" max="9214" width="11.85546875" style="45" customWidth="1"/>
    <col min="9215" max="9215" width="13.28515625" style="45" customWidth="1"/>
    <col min="9216" max="9216" width="15.28515625" style="45" customWidth="1"/>
    <col min="9217" max="9217" width="11.85546875" style="45" customWidth="1"/>
    <col min="9218" max="9218" width="6.140625" style="45" customWidth="1"/>
    <col min="9219" max="9219" width="11.85546875" style="45" customWidth="1"/>
    <col min="9220" max="9220" width="9.42578125" style="45" customWidth="1"/>
    <col min="9221" max="9221" width="14.7109375" style="45" customWidth="1"/>
    <col min="9222" max="9222" width="11.5703125" style="45" customWidth="1"/>
    <col min="9223" max="9223" width="0.42578125" style="45" customWidth="1"/>
    <col min="9224" max="9224" width="10.5703125" style="45" bestFit="1" customWidth="1"/>
    <col min="9225" max="9225" width="12.28515625" style="45" customWidth="1"/>
    <col min="9226" max="9226" width="12.5703125" style="45" customWidth="1"/>
    <col min="9227" max="9227" width="10.5703125" style="45" customWidth="1"/>
    <col min="9228" max="9228" width="10.140625" style="45" customWidth="1"/>
    <col min="9229" max="9229" width="8.42578125" style="45" customWidth="1"/>
    <col min="9230" max="9230" width="18.85546875" style="45" customWidth="1"/>
    <col min="9231" max="9231" width="10.28515625" style="45" customWidth="1"/>
    <col min="9232" max="9232" width="11.42578125" style="45"/>
    <col min="9233" max="9233" width="12.140625" style="45" customWidth="1"/>
    <col min="9234" max="9234" width="10.5703125" style="45" customWidth="1"/>
    <col min="9235" max="9235" width="12.42578125" style="45" customWidth="1"/>
    <col min="9236" max="9236" width="15.140625" style="45" customWidth="1"/>
    <col min="9237" max="9237" width="13.5703125" style="45" customWidth="1"/>
    <col min="9238" max="9238" width="13.140625" style="45" customWidth="1"/>
    <col min="9239" max="9239" width="15.7109375" style="45" customWidth="1"/>
    <col min="9240" max="9240" width="37.5703125" style="45" customWidth="1"/>
    <col min="9241" max="9462" width="11.42578125" style="45"/>
    <col min="9463" max="9463" width="10.5703125" style="45" customWidth="1"/>
    <col min="9464" max="9464" width="4.85546875" style="45" customWidth="1"/>
    <col min="9465" max="9465" width="32.42578125" style="45" customWidth="1"/>
    <col min="9466" max="9466" width="9.85546875" style="45" customWidth="1"/>
    <col min="9467" max="9467" width="10.140625" style="45" customWidth="1"/>
    <col min="9468" max="9468" width="12.28515625" style="45" customWidth="1"/>
    <col min="9469" max="9469" width="15.42578125" style="45" customWidth="1"/>
    <col min="9470" max="9470" width="11.85546875" style="45" customWidth="1"/>
    <col min="9471" max="9471" width="13.28515625" style="45" customWidth="1"/>
    <col min="9472" max="9472" width="15.28515625" style="45" customWidth="1"/>
    <col min="9473" max="9473" width="11.85546875" style="45" customWidth="1"/>
    <col min="9474" max="9474" width="6.140625" style="45" customWidth="1"/>
    <col min="9475" max="9475" width="11.85546875" style="45" customWidth="1"/>
    <col min="9476" max="9476" width="9.42578125" style="45" customWidth="1"/>
    <col min="9477" max="9477" width="14.7109375" style="45" customWidth="1"/>
    <col min="9478" max="9478" width="11.5703125" style="45" customWidth="1"/>
    <col min="9479" max="9479" width="0.42578125" style="45" customWidth="1"/>
    <col min="9480" max="9480" width="10.5703125" style="45" bestFit="1" customWidth="1"/>
    <col min="9481" max="9481" width="12.28515625" style="45" customWidth="1"/>
    <col min="9482" max="9482" width="12.5703125" style="45" customWidth="1"/>
    <col min="9483" max="9483" width="10.5703125" style="45" customWidth="1"/>
    <col min="9484" max="9484" width="10.140625" style="45" customWidth="1"/>
    <col min="9485" max="9485" width="8.42578125" style="45" customWidth="1"/>
    <col min="9486" max="9486" width="18.85546875" style="45" customWidth="1"/>
    <col min="9487" max="9487" width="10.28515625" style="45" customWidth="1"/>
    <col min="9488" max="9488" width="11.42578125" style="45"/>
    <col min="9489" max="9489" width="12.140625" style="45" customWidth="1"/>
    <col min="9490" max="9490" width="10.5703125" style="45" customWidth="1"/>
    <col min="9491" max="9491" width="12.42578125" style="45" customWidth="1"/>
    <col min="9492" max="9492" width="15.140625" style="45" customWidth="1"/>
    <col min="9493" max="9493" width="13.5703125" style="45" customWidth="1"/>
    <col min="9494" max="9494" width="13.140625" style="45" customWidth="1"/>
    <col min="9495" max="9495" width="15.7109375" style="45" customWidth="1"/>
    <col min="9496" max="9496" width="37.5703125" style="45" customWidth="1"/>
    <col min="9497" max="9718" width="11.42578125" style="45"/>
    <col min="9719" max="9719" width="10.5703125" style="45" customWidth="1"/>
    <col min="9720" max="9720" width="4.85546875" style="45" customWidth="1"/>
    <col min="9721" max="9721" width="32.42578125" style="45" customWidth="1"/>
    <col min="9722" max="9722" width="9.85546875" style="45" customWidth="1"/>
    <col min="9723" max="9723" width="10.140625" style="45" customWidth="1"/>
    <col min="9724" max="9724" width="12.28515625" style="45" customWidth="1"/>
    <col min="9725" max="9725" width="15.42578125" style="45" customWidth="1"/>
    <col min="9726" max="9726" width="11.85546875" style="45" customWidth="1"/>
    <col min="9727" max="9727" width="13.28515625" style="45" customWidth="1"/>
    <col min="9728" max="9728" width="15.28515625" style="45" customWidth="1"/>
    <col min="9729" max="9729" width="11.85546875" style="45" customWidth="1"/>
    <col min="9730" max="9730" width="6.140625" style="45" customWidth="1"/>
    <col min="9731" max="9731" width="11.85546875" style="45" customWidth="1"/>
    <col min="9732" max="9732" width="9.42578125" style="45" customWidth="1"/>
    <col min="9733" max="9733" width="14.7109375" style="45" customWidth="1"/>
    <col min="9734" max="9734" width="11.5703125" style="45" customWidth="1"/>
    <col min="9735" max="9735" width="0.42578125" style="45" customWidth="1"/>
    <col min="9736" max="9736" width="10.5703125" style="45" bestFit="1" customWidth="1"/>
    <col min="9737" max="9737" width="12.28515625" style="45" customWidth="1"/>
    <col min="9738" max="9738" width="12.5703125" style="45" customWidth="1"/>
    <col min="9739" max="9739" width="10.5703125" style="45" customWidth="1"/>
    <col min="9740" max="9740" width="10.140625" style="45" customWidth="1"/>
    <col min="9741" max="9741" width="8.42578125" style="45" customWidth="1"/>
    <col min="9742" max="9742" width="18.85546875" style="45" customWidth="1"/>
    <col min="9743" max="9743" width="10.28515625" style="45" customWidth="1"/>
    <col min="9744" max="9744" width="11.42578125" style="45"/>
    <col min="9745" max="9745" width="12.140625" style="45" customWidth="1"/>
    <col min="9746" max="9746" width="10.5703125" style="45" customWidth="1"/>
    <col min="9747" max="9747" width="12.42578125" style="45" customWidth="1"/>
    <col min="9748" max="9748" width="15.140625" style="45" customWidth="1"/>
    <col min="9749" max="9749" width="13.5703125" style="45" customWidth="1"/>
    <col min="9750" max="9750" width="13.140625" style="45" customWidth="1"/>
    <col min="9751" max="9751" width="15.7109375" style="45" customWidth="1"/>
    <col min="9752" max="9752" width="37.5703125" style="45" customWidth="1"/>
    <col min="9753" max="9974" width="11.42578125" style="45"/>
    <col min="9975" max="9975" width="10.5703125" style="45" customWidth="1"/>
    <col min="9976" max="9976" width="4.85546875" style="45" customWidth="1"/>
    <col min="9977" max="9977" width="32.42578125" style="45" customWidth="1"/>
    <col min="9978" max="9978" width="9.85546875" style="45" customWidth="1"/>
    <col min="9979" max="9979" width="10.140625" style="45" customWidth="1"/>
    <col min="9980" max="9980" width="12.28515625" style="45" customWidth="1"/>
    <col min="9981" max="9981" width="15.42578125" style="45" customWidth="1"/>
    <col min="9982" max="9982" width="11.85546875" style="45" customWidth="1"/>
    <col min="9983" max="9983" width="13.28515625" style="45" customWidth="1"/>
    <col min="9984" max="9984" width="15.28515625" style="45" customWidth="1"/>
    <col min="9985" max="9985" width="11.85546875" style="45" customWidth="1"/>
    <col min="9986" max="9986" width="6.140625" style="45" customWidth="1"/>
    <col min="9987" max="9987" width="11.85546875" style="45" customWidth="1"/>
    <col min="9988" max="9988" width="9.42578125" style="45" customWidth="1"/>
    <col min="9989" max="9989" width="14.7109375" style="45" customWidth="1"/>
    <col min="9990" max="9990" width="11.5703125" style="45" customWidth="1"/>
    <col min="9991" max="9991" width="0.42578125" style="45" customWidth="1"/>
    <col min="9992" max="9992" width="10.5703125" style="45" bestFit="1" customWidth="1"/>
    <col min="9993" max="9993" width="12.28515625" style="45" customWidth="1"/>
    <col min="9994" max="9994" width="12.5703125" style="45" customWidth="1"/>
    <col min="9995" max="9995" width="10.5703125" style="45" customWidth="1"/>
    <col min="9996" max="9996" width="10.140625" style="45" customWidth="1"/>
    <col min="9997" max="9997" width="8.42578125" style="45" customWidth="1"/>
    <col min="9998" max="9998" width="18.85546875" style="45" customWidth="1"/>
    <col min="9999" max="9999" width="10.28515625" style="45" customWidth="1"/>
    <col min="10000" max="10000" width="11.42578125" style="45"/>
    <col min="10001" max="10001" width="12.140625" style="45" customWidth="1"/>
    <col min="10002" max="10002" width="10.5703125" style="45" customWidth="1"/>
    <col min="10003" max="10003" width="12.42578125" style="45" customWidth="1"/>
    <col min="10004" max="10004" width="15.140625" style="45" customWidth="1"/>
    <col min="10005" max="10005" width="13.5703125" style="45" customWidth="1"/>
    <col min="10006" max="10006" width="13.140625" style="45" customWidth="1"/>
    <col min="10007" max="10007" width="15.7109375" style="45" customWidth="1"/>
    <col min="10008" max="10008" width="37.5703125" style="45" customWidth="1"/>
    <col min="10009" max="10230" width="11.42578125" style="45"/>
    <col min="10231" max="10231" width="10.5703125" style="45" customWidth="1"/>
    <col min="10232" max="10232" width="4.85546875" style="45" customWidth="1"/>
    <col min="10233" max="10233" width="32.42578125" style="45" customWidth="1"/>
    <col min="10234" max="10234" width="9.85546875" style="45" customWidth="1"/>
    <col min="10235" max="10235" width="10.140625" style="45" customWidth="1"/>
    <col min="10236" max="10236" width="12.28515625" style="45" customWidth="1"/>
    <col min="10237" max="10237" width="15.42578125" style="45" customWidth="1"/>
    <col min="10238" max="10238" width="11.85546875" style="45" customWidth="1"/>
    <col min="10239" max="10239" width="13.28515625" style="45" customWidth="1"/>
    <col min="10240" max="10240" width="15.28515625" style="45" customWidth="1"/>
    <col min="10241" max="10241" width="11.85546875" style="45" customWidth="1"/>
    <col min="10242" max="10242" width="6.140625" style="45" customWidth="1"/>
    <col min="10243" max="10243" width="11.85546875" style="45" customWidth="1"/>
    <col min="10244" max="10244" width="9.42578125" style="45" customWidth="1"/>
    <col min="10245" max="10245" width="14.7109375" style="45" customWidth="1"/>
    <col min="10246" max="10246" width="11.5703125" style="45" customWidth="1"/>
    <col min="10247" max="10247" width="0.42578125" style="45" customWidth="1"/>
    <col min="10248" max="10248" width="10.5703125" style="45" bestFit="1" customWidth="1"/>
    <col min="10249" max="10249" width="12.28515625" style="45" customWidth="1"/>
    <col min="10250" max="10250" width="12.5703125" style="45" customWidth="1"/>
    <col min="10251" max="10251" width="10.5703125" style="45" customWidth="1"/>
    <col min="10252" max="10252" width="10.140625" style="45" customWidth="1"/>
    <col min="10253" max="10253" width="8.42578125" style="45" customWidth="1"/>
    <col min="10254" max="10254" width="18.85546875" style="45" customWidth="1"/>
    <col min="10255" max="10255" width="10.28515625" style="45" customWidth="1"/>
    <col min="10256" max="10256" width="11.42578125" style="45"/>
    <col min="10257" max="10257" width="12.140625" style="45" customWidth="1"/>
    <col min="10258" max="10258" width="10.5703125" style="45" customWidth="1"/>
    <col min="10259" max="10259" width="12.42578125" style="45" customWidth="1"/>
    <col min="10260" max="10260" width="15.140625" style="45" customWidth="1"/>
    <col min="10261" max="10261" width="13.5703125" style="45" customWidth="1"/>
    <col min="10262" max="10262" width="13.140625" style="45" customWidth="1"/>
    <col min="10263" max="10263" width="15.7109375" style="45" customWidth="1"/>
    <col min="10264" max="10264" width="37.5703125" style="45" customWidth="1"/>
    <col min="10265" max="10486" width="11.42578125" style="45"/>
    <col min="10487" max="10487" width="10.5703125" style="45" customWidth="1"/>
    <col min="10488" max="10488" width="4.85546875" style="45" customWidth="1"/>
    <col min="10489" max="10489" width="32.42578125" style="45" customWidth="1"/>
    <col min="10490" max="10490" width="9.85546875" style="45" customWidth="1"/>
    <col min="10491" max="10491" width="10.140625" style="45" customWidth="1"/>
    <col min="10492" max="10492" width="12.28515625" style="45" customWidth="1"/>
    <col min="10493" max="10493" width="15.42578125" style="45" customWidth="1"/>
    <col min="10494" max="10494" width="11.85546875" style="45" customWidth="1"/>
    <col min="10495" max="10495" width="13.28515625" style="45" customWidth="1"/>
    <col min="10496" max="10496" width="15.28515625" style="45" customWidth="1"/>
    <col min="10497" max="10497" width="11.85546875" style="45" customWidth="1"/>
    <col min="10498" max="10498" width="6.140625" style="45" customWidth="1"/>
    <col min="10499" max="10499" width="11.85546875" style="45" customWidth="1"/>
    <col min="10500" max="10500" width="9.42578125" style="45" customWidth="1"/>
    <col min="10501" max="10501" width="14.7109375" style="45" customWidth="1"/>
    <col min="10502" max="10502" width="11.5703125" style="45" customWidth="1"/>
    <col min="10503" max="10503" width="0.42578125" style="45" customWidth="1"/>
    <col min="10504" max="10504" width="10.5703125" style="45" bestFit="1" customWidth="1"/>
    <col min="10505" max="10505" width="12.28515625" style="45" customWidth="1"/>
    <col min="10506" max="10506" width="12.5703125" style="45" customWidth="1"/>
    <col min="10507" max="10507" width="10.5703125" style="45" customWidth="1"/>
    <col min="10508" max="10508" width="10.140625" style="45" customWidth="1"/>
    <col min="10509" max="10509" width="8.42578125" style="45" customWidth="1"/>
    <col min="10510" max="10510" width="18.85546875" style="45" customWidth="1"/>
    <col min="10511" max="10511" width="10.28515625" style="45" customWidth="1"/>
    <col min="10512" max="10512" width="11.42578125" style="45"/>
    <col min="10513" max="10513" width="12.140625" style="45" customWidth="1"/>
    <col min="10514" max="10514" width="10.5703125" style="45" customWidth="1"/>
    <col min="10515" max="10515" width="12.42578125" style="45" customWidth="1"/>
    <col min="10516" max="10516" width="15.140625" style="45" customWidth="1"/>
    <col min="10517" max="10517" width="13.5703125" style="45" customWidth="1"/>
    <col min="10518" max="10518" width="13.140625" style="45" customWidth="1"/>
    <col min="10519" max="10519" width="15.7109375" style="45" customWidth="1"/>
    <col min="10520" max="10520" width="37.5703125" style="45" customWidth="1"/>
    <col min="10521" max="10742" width="11.42578125" style="45"/>
    <col min="10743" max="10743" width="10.5703125" style="45" customWidth="1"/>
    <col min="10744" max="10744" width="4.85546875" style="45" customWidth="1"/>
    <col min="10745" max="10745" width="32.42578125" style="45" customWidth="1"/>
    <col min="10746" max="10746" width="9.85546875" style="45" customWidth="1"/>
    <col min="10747" max="10747" width="10.140625" style="45" customWidth="1"/>
    <col min="10748" max="10748" width="12.28515625" style="45" customWidth="1"/>
    <col min="10749" max="10749" width="15.42578125" style="45" customWidth="1"/>
    <col min="10750" max="10750" width="11.85546875" style="45" customWidth="1"/>
    <col min="10751" max="10751" width="13.28515625" style="45" customWidth="1"/>
    <col min="10752" max="10752" width="15.28515625" style="45" customWidth="1"/>
    <col min="10753" max="10753" width="11.85546875" style="45" customWidth="1"/>
    <col min="10754" max="10754" width="6.140625" style="45" customWidth="1"/>
    <col min="10755" max="10755" width="11.85546875" style="45" customWidth="1"/>
    <col min="10756" max="10756" width="9.42578125" style="45" customWidth="1"/>
    <col min="10757" max="10757" width="14.7109375" style="45" customWidth="1"/>
    <col min="10758" max="10758" width="11.5703125" style="45" customWidth="1"/>
    <col min="10759" max="10759" width="0.42578125" style="45" customWidth="1"/>
    <col min="10760" max="10760" width="10.5703125" style="45" bestFit="1" customWidth="1"/>
    <col min="10761" max="10761" width="12.28515625" style="45" customWidth="1"/>
    <col min="10762" max="10762" width="12.5703125" style="45" customWidth="1"/>
    <col min="10763" max="10763" width="10.5703125" style="45" customWidth="1"/>
    <col min="10764" max="10764" width="10.140625" style="45" customWidth="1"/>
    <col min="10765" max="10765" width="8.42578125" style="45" customWidth="1"/>
    <col min="10766" max="10766" width="18.85546875" style="45" customWidth="1"/>
    <col min="10767" max="10767" width="10.28515625" style="45" customWidth="1"/>
    <col min="10768" max="10768" width="11.42578125" style="45"/>
    <col min="10769" max="10769" width="12.140625" style="45" customWidth="1"/>
    <col min="10770" max="10770" width="10.5703125" style="45" customWidth="1"/>
    <col min="10771" max="10771" width="12.42578125" style="45" customWidth="1"/>
    <col min="10772" max="10772" width="15.140625" style="45" customWidth="1"/>
    <col min="10773" max="10773" width="13.5703125" style="45" customWidth="1"/>
    <col min="10774" max="10774" width="13.140625" style="45" customWidth="1"/>
    <col min="10775" max="10775" width="15.7109375" style="45" customWidth="1"/>
    <col min="10776" max="10776" width="37.5703125" style="45" customWidth="1"/>
    <col min="10777" max="10998" width="11.42578125" style="45"/>
    <col min="10999" max="10999" width="10.5703125" style="45" customWidth="1"/>
    <col min="11000" max="11000" width="4.85546875" style="45" customWidth="1"/>
    <col min="11001" max="11001" width="32.42578125" style="45" customWidth="1"/>
    <col min="11002" max="11002" width="9.85546875" style="45" customWidth="1"/>
    <col min="11003" max="11003" width="10.140625" style="45" customWidth="1"/>
    <col min="11004" max="11004" width="12.28515625" style="45" customWidth="1"/>
    <col min="11005" max="11005" width="15.42578125" style="45" customWidth="1"/>
    <col min="11006" max="11006" width="11.85546875" style="45" customWidth="1"/>
    <col min="11007" max="11007" width="13.28515625" style="45" customWidth="1"/>
    <col min="11008" max="11008" width="15.28515625" style="45" customWidth="1"/>
    <col min="11009" max="11009" width="11.85546875" style="45" customWidth="1"/>
    <col min="11010" max="11010" width="6.140625" style="45" customWidth="1"/>
    <col min="11011" max="11011" width="11.85546875" style="45" customWidth="1"/>
    <col min="11012" max="11012" width="9.42578125" style="45" customWidth="1"/>
    <col min="11013" max="11013" width="14.7109375" style="45" customWidth="1"/>
    <col min="11014" max="11014" width="11.5703125" style="45" customWidth="1"/>
    <col min="11015" max="11015" width="0.42578125" style="45" customWidth="1"/>
    <col min="11016" max="11016" width="10.5703125" style="45" bestFit="1" customWidth="1"/>
    <col min="11017" max="11017" width="12.28515625" style="45" customWidth="1"/>
    <col min="11018" max="11018" width="12.5703125" style="45" customWidth="1"/>
    <col min="11019" max="11019" width="10.5703125" style="45" customWidth="1"/>
    <col min="11020" max="11020" width="10.140625" style="45" customWidth="1"/>
    <col min="11021" max="11021" width="8.42578125" style="45" customWidth="1"/>
    <col min="11022" max="11022" width="18.85546875" style="45" customWidth="1"/>
    <col min="11023" max="11023" width="10.28515625" style="45" customWidth="1"/>
    <col min="11024" max="11024" width="11.42578125" style="45"/>
    <col min="11025" max="11025" width="12.140625" style="45" customWidth="1"/>
    <col min="11026" max="11026" width="10.5703125" style="45" customWidth="1"/>
    <col min="11027" max="11027" width="12.42578125" style="45" customWidth="1"/>
    <col min="11028" max="11028" width="15.140625" style="45" customWidth="1"/>
    <col min="11029" max="11029" width="13.5703125" style="45" customWidth="1"/>
    <col min="11030" max="11030" width="13.140625" style="45" customWidth="1"/>
    <col min="11031" max="11031" width="15.7109375" style="45" customWidth="1"/>
    <col min="11032" max="11032" width="37.5703125" style="45" customWidth="1"/>
    <col min="11033" max="11254" width="11.42578125" style="45"/>
    <col min="11255" max="11255" width="10.5703125" style="45" customWidth="1"/>
    <col min="11256" max="11256" width="4.85546875" style="45" customWidth="1"/>
    <col min="11257" max="11257" width="32.42578125" style="45" customWidth="1"/>
    <col min="11258" max="11258" width="9.85546875" style="45" customWidth="1"/>
    <col min="11259" max="11259" width="10.140625" style="45" customWidth="1"/>
    <col min="11260" max="11260" width="12.28515625" style="45" customWidth="1"/>
    <col min="11261" max="11261" width="15.42578125" style="45" customWidth="1"/>
    <col min="11262" max="11262" width="11.85546875" style="45" customWidth="1"/>
    <col min="11263" max="11263" width="13.28515625" style="45" customWidth="1"/>
    <col min="11264" max="11264" width="15.28515625" style="45" customWidth="1"/>
    <col min="11265" max="11265" width="11.85546875" style="45" customWidth="1"/>
    <col min="11266" max="11266" width="6.140625" style="45" customWidth="1"/>
    <col min="11267" max="11267" width="11.85546875" style="45" customWidth="1"/>
    <col min="11268" max="11268" width="9.42578125" style="45" customWidth="1"/>
    <col min="11269" max="11269" width="14.7109375" style="45" customWidth="1"/>
    <col min="11270" max="11270" width="11.5703125" style="45" customWidth="1"/>
    <col min="11271" max="11271" width="0.42578125" style="45" customWidth="1"/>
    <col min="11272" max="11272" width="10.5703125" style="45" bestFit="1" customWidth="1"/>
    <col min="11273" max="11273" width="12.28515625" style="45" customWidth="1"/>
    <col min="11274" max="11274" width="12.5703125" style="45" customWidth="1"/>
    <col min="11275" max="11275" width="10.5703125" style="45" customWidth="1"/>
    <col min="11276" max="11276" width="10.140625" style="45" customWidth="1"/>
    <col min="11277" max="11277" width="8.42578125" style="45" customWidth="1"/>
    <col min="11278" max="11278" width="18.85546875" style="45" customWidth="1"/>
    <col min="11279" max="11279" width="10.28515625" style="45" customWidth="1"/>
    <col min="11280" max="11280" width="11.42578125" style="45"/>
    <col min="11281" max="11281" width="12.140625" style="45" customWidth="1"/>
    <col min="11282" max="11282" width="10.5703125" style="45" customWidth="1"/>
    <col min="11283" max="11283" width="12.42578125" style="45" customWidth="1"/>
    <col min="11284" max="11284" width="15.140625" style="45" customWidth="1"/>
    <col min="11285" max="11285" width="13.5703125" style="45" customWidth="1"/>
    <col min="11286" max="11286" width="13.140625" style="45" customWidth="1"/>
    <col min="11287" max="11287" width="15.7109375" style="45" customWidth="1"/>
    <col min="11288" max="11288" width="37.5703125" style="45" customWidth="1"/>
    <col min="11289" max="11510" width="11.42578125" style="45"/>
    <col min="11511" max="11511" width="10.5703125" style="45" customWidth="1"/>
    <col min="11512" max="11512" width="4.85546875" style="45" customWidth="1"/>
    <col min="11513" max="11513" width="32.42578125" style="45" customWidth="1"/>
    <col min="11514" max="11514" width="9.85546875" style="45" customWidth="1"/>
    <col min="11515" max="11515" width="10.140625" style="45" customWidth="1"/>
    <col min="11516" max="11516" width="12.28515625" style="45" customWidth="1"/>
    <col min="11517" max="11517" width="15.42578125" style="45" customWidth="1"/>
    <col min="11518" max="11518" width="11.85546875" style="45" customWidth="1"/>
    <col min="11519" max="11519" width="13.28515625" style="45" customWidth="1"/>
    <col min="11520" max="11520" width="15.28515625" style="45" customWidth="1"/>
    <col min="11521" max="11521" width="11.85546875" style="45" customWidth="1"/>
    <col min="11522" max="11522" width="6.140625" style="45" customWidth="1"/>
    <col min="11523" max="11523" width="11.85546875" style="45" customWidth="1"/>
    <col min="11524" max="11524" width="9.42578125" style="45" customWidth="1"/>
    <col min="11525" max="11525" width="14.7109375" style="45" customWidth="1"/>
    <col min="11526" max="11526" width="11.5703125" style="45" customWidth="1"/>
    <col min="11527" max="11527" width="0.42578125" style="45" customWidth="1"/>
    <col min="11528" max="11528" width="10.5703125" style="45" bestFit="1" customWidth="1"/>
    <col min="11529" max="11529" width="12.28515625" style="45" customWidth="1"/>
    <col min="11530" max="11530" width="12.5703125" style="45" customWidth="1"/>
    <col min="11531" max="11531" width="10.5703125" style="45" customWidth="1"/>
    <col min="11532" max="11532" width="10.140625" style="45" customWidth="1"/>
    <col min="11533" max="11533" width="8.42578125" style="45" customWidth="1"/>
    <col min="11534" max="11534" width="18.85546875" style="45" customWidth="1"/>
    <col min="11535" max="11535" width="10.28515625" style="45" customWidth="1"/>
    <col min="11536" max="11536" width="11.42578125" style="45"/>
    <col min="11537" max="11537" width="12.140625" style="45" customWidth="1"/>
    <col min="11538" max="11538" width="10.5703125" style="45" customWidth="1"/>
    <col min="11539" max="11539" width="12.42578125" style="45" customWidth="1"/>
    <col min="11540" max="11540" width="15.140625" style="45" customWidth="1"/>
    <col min="11541" max="11541" width="13.5703125" style="45" customWidth="1"/>
    <col min="11542" max="11542" width="13.140625" style="45" customWidth="1"/>
    <col min="11543" max="11543" width="15.7109375" style="45" customWidth="1"/>
    <col min="11544" max="11544" width="37.5703125" style="45" customWidth="1"/>
    <col min="11545" max="11766" width="11.42578125" style="45"/>
    <col min="11767" max="11767" width="10.5703125" style="45" customWidth="1"/>
    <col min="11768" max="11768" width="4.85546875" style="45" customWidth="1"/>
    <col min="11769" max="11769" width="32.42578125" style="45" customWidth="1"/>
    <col min="11770" max="11770" width="9.85546875" style="45" customWidth="1"/>
    <col min="11771" max="11771" width="10.140625" style="45" customWidth="1"/>
    <col min="11772" max="11772" width="12.28515625" style="45" customWidth="1"/>
    <col min="11773" max="11773" width="15.42578125" style="45" customWidth="1"/>
    <col min="11774" max="11774" width="11.85546875" style="45" customWidth="1"/>
    <col min="11775" max="11775" width="13.28515625" style="45" customWidth="1"/>
    <col min="11776" max="11776" width="15.28515625" style="45" customWidth="1"/>
    <col min="11777" max="11777" width="11.85546875" style="45" customWidth="1"/>
    <col min="11778" max="11778" width="6.140625" style="45" customWidth="1"/>
    <col min="11779" max="11779" width="11.85546875" style="45" customWidth="1"/>
    <col min="11780" max="11780" width="9.42578125" style="45" customWidth="1"/>
    <col min="11781" max="11781" width="14.7109375" style="45" customWidth="1"/>
    <col min="11782" max="11782" width="11.5703125" style="45" customWidth="1"/>
    <col min="11783" max="11783" width="0.42578125" style="45" customWidth="1"/>
    <col min="11784" max="11784" width="10.5703125" style="45" bestFit="1" customWidth="1"/>
    <col min="11785" max="11785" width="12.28515625" style="45" customWidth="1"/>
    <col min="11786" max="11786" width="12.5703125" style="45" customWidth="1"/>
    <col min="11787" max="11787" width="10.5703125" style="45" customWidth="1"/>
    <col min="11788" max="11788" width="10.140625" style="45" customWidth="1"/>
    <col min="11789" max="11789" width="8.42578125" style="45" customWidth="1"/>
    <col min="11790" max="11790" width="18.85546875" style="45" customWidth="1"/>
    <col min="11791" max="11791" width="10.28515625" style="45" customWidth="1"/>
    <col min="11792" max="11792" width="11.42578125" style="45"/>
    <col min="11793" max="11793" width="12.140625" style="45" customWidth="1"/>
    <col min="11794" max="11794" width="10.5703125" style="45" customWidth="1"/>
    <col min="11795" max="11795" width="12.42578125" style="45" customWidth="1"/>
    <col min="11796" max="11796" width="15.140625" style="45" customWidth="1"/>
    <col min="11797" max="11797" width="13.5703125" style="45" customWidth="1"/>
    <col min="11798" max="11798" width="13.140625" style="45" customWidth="1"/>
    <col min="11799" max="11799" width="15.7109375" style="45" customWidth="1"/>
    <col min="11800" max="11800" width="37.5703125" style="45" customWidth="1"/>
    <col min="11801" max="12022" width="11.42578125" style="45"/>
    <col min="12023" max="12023" width="10.5703125" style="45" customWidth="1"/>
    <col min="12024" max="12024" width="4.85546875" style="45" customWidth="1"/>
    <col min="12025" max="12025" width="32.42578125" style="45" customWidth="1"/>
    <col min="12026" max="12026" width="9.85546875" style="45" customWidth="1"/>
    <col min="12027" max="12027" width="10.140625" style="45" customWidth="1"/>
    <col min="12028" max="12028" width="12.28515625" style="45" customWidth="1"/>
    <col min="12029" max="12029" width="15.42578125" style="45" customWidth="1"/>
    <col min="12030" max="12030" width="11.85546875" style="45" customWidth="1"/>
    <col min="12031" max="12031" width="13.28515625" style="45" customWidth="1"/>
    <col min="12032" max="12032" width="15.28515625" style="45" customWidth="1"/>
    <col min="12033" max="12033" width="11.85546875" style="45" customWidth="1"/>
    <col min="12034" max="12034" width="6.140625" style="45" customWidth="1"/>
    <col min="12035" max="12035" width="11.85546875" style="45" customWidth="1"/>
    <col min="12036" max="12036" width="9.42578125" style="45" customWidth="1"/>
    <col min="12037" max="12037" width="14.7109375" style="45" customWidth="1"/>
    <col min="12038" max="12038" width="11.5703125" style="45" customWidth="1"/>
    <col min="12039" max="12039" width="0.42578125" style="45" customWidth="1"/>
    <col min="12040" max="12040" width="10.5703125" style="45" bestFit="1" customWidth="1"/>
    <col min="12041" max="12041" width="12.28515625" style="45" customWidth="1"/>
    <col min="12042" max="12042" width="12.5703125" style="45" customWidth="1"/>
    <col min="12043" max="12043" width="10.5703125" style="45" customWidth="1"/>
    <col min="12044" max="12044" width="10.140625" style="45" customWidth="1"/>
    <col min="12045" max="12045" width="8.42578125" style="45" customWidth="1"/>
    <col min="12046" max="12046" width="18.85546875" style="45" customWidth="1"/>
    <col min="12047" max="12047" width="10.28515625" style="45" customWidth="1"/>
    <col min="12048" max="12048" width="11.42578125" style="45"/>
    <col min="12049" max="12049" width="12.140625" style="45" customWidth="1"/>
    <col min="12050" max="12050" width="10.5703125" style="45" customWidth="1"/>
    <col min="12051" max="12051" width="12.42578125" style="45" customWidth="1"/>
    <col min="12052" max="12052" width="15.140625" style="45" customWidth="1"/>
    <col min="12053" max="12053" width="13.5703125" style="45" customWidth="1"/>
    <col min="12054" max="12054" width="13.140625" style="45" customWidth="1"/>
    <col min="12055" max="12055" width="15.7109375" style="45" customWidth="1"/>
    <col min="12056" max="12056" width="37.5703125" style="45" customWidth="1"/>
    <col min="12057" max="12278" width="11.42578125" style="45"/>
    <col min="12279" max="12279" width="10.5703125" style="45" customWidth="1"/>
    <col min="12280" max="12280" width="4.85546875" style="45" customWidth="1"/>
    <col min="12281" max="12281" width="32.42578125" style="45" customWidth="1"/>
    <col min="12282" max="12282" width="9.85546875" style="45" customWidth="1"/>
    <col min="12283" max="12283" width="10.140625" style="45" customWidth="1"/>
    <col min="12284" max="12284" width="12.28515625" style="45" customWidth="1"/>
    <col min="12285" max="12285" width="15.42578125" style="45" customWidth="1"/>
    <col min="12286" max="12286" width="11.85546875" style="45" customWidth="1"/>
    <col min="12287" max="12287" width="13.28515625" style="45" customWidth="1"/>
    <col min="12288" max="12288" width="15.28515625" style="45" customWidth="1"/>
    <col min="12289" max="12289" width="11.85546875" style="45" customWidth="1"/>
    <col min="12290" max="12290" width="6.140625" style="45" customWidth="1"/>
    <col min="12291" max="12291" width="11.85546875" style="45" customWidth="1"/>
    <col min="12292" max="12292" width="9.42578125" style="45" customWidth="1"/>
    <col min="12293" max="12293" width="14.7109375" style="45" customWidth="1"/>
    <col min="12294" max="12294" width="11.5703125" style="45" customWidth="1"/>
    <col min="12295" max="12295" width="0.42578125" style="45" customWidth="1"/>
    <col min="12296" max="12296" width="10.5703125" style="45" bestFit="1" customWidth="1"/>
    <col min="12297" max="12297" width="12.28515625" style="45" customWidth="1"/>
    <col min="12298" max="12298" width="12.5703125" style="45" customWidth="1"/>
    <col min="12299" max="12299" width="10.5703125" style="45" customWidth="1"/>
    <col min="12300" max="12300" width="10.140625" style="45" customWidth="1"/>
    <col min="12301" max="12301" width="8.42578125" style="45" customWidth="1"/>
    <col min="12302" max="12302" width="18.85546875" style="45" customWidth="1"/>
    <col min="12303" max="12303" width="10.28515625" style="45" customWidth="1"/>
    <col min="12304" max="12304" width="11.42578125" style="45"/>
    <col min="12305" max="12305" width="12.140625" style="45" customWidth="1"/>
    <col min="12306" max="12306" width="10.5703125" style="45" customWidth="1"/>
    <col min="12307" max="12307" width="12.42578125" style="45" customWidth="1"/>
    <col min="12308" max="12308" width="15.140625" style="45" customWidth="1"/>
    <col min="12309" max="12309" width="13.5703125" style="45" customWidth="1"/>
    <col min="12310" max="12310" width="13.140625" style="45" customWidth="1"/>
    <col min="12311" max="12311" width="15.7109375" style="45" customWidth="1"/>
    <col min="12312" max="12312" width="37.5703125" style="45" customWidth="1"/>
    <col min="12313" max="12534" width="11.42578125" style="45"/>
    <col min="12535" max="12535" width="10.5703125" style="45" customWidth="1"/>
    <col min="12536" max="12536" width="4.85546875" style="45" customWidth="1"/>
    <col min="12537" max="12537" width="32.42578125" style="45" customWidth="1"/>
    <col min="12538" max="12538" width="9.85546875" style="45" customWidth="1"/>
    <col min="12539" max="12539" width="10.140625" style="45" customWidth="1"/>
    <col min="12540" max="12540" width="12.28515625" style="45" customWidth="1"/>
    <col min="12541" max="12541" width="15.42578125" style="45" customWidth="1"/>
    <col min="12542" max="12542" width="11.85546875" style="45" customWidth="1"/>
    <col min="12543" max="12543" width="13.28515625" style="45" customWidth="1"/>
    <col min="12544" max="12544" width="15.28515625" style="45" customWidth="1"/>
    <col min="12545" max="12545" width="11.85546875" style="45" customWidth="1"/>
    <col min="12546" max="12546" width="6.140625" style="45" customWidth="1"/>
    <col min="12547" max="12547" width="11.85546875" style="45" customWidth="1"/>
    <col min="12548" max="12548" width="9.42578125" style="45" customWidth="1"/>
    <col min="12549" max="12549" width="14.7109375" style="45" customWidth="1"/>
    <col min="12550" max="12550" width="11.5703125" style="45" customWidth="1"/>
    <col min="12551" max="12551" width="0.42578125" style="45" customWidth="1"/>
    <col min="12552" max="12552" width="10.5703125" style="45" bestFit="1" customWidth="1"/>
    <col min="12553" max="12553" width="12.28515625" style="45" customWidth="1"/>
    <col min="12554" max="12554" width="12.5703125" style="45" customWidth="1"/>
    <col min="12555" max="12555" width="10.5703125" style="45" customWidth="1"/>
    <col min="12556" max="12556" width="10.140625" style="45" customWidth="1"/>
    <col min="12557" max="12557" width="8.42578125" style="45" customWidth="1"/>
    <col min="12558" max="12558" width="18.85546875" style="45" customWidth="1"/>
    <col min="12559" max="12559" width="10.28515625" style="45" customWidth="1"/>
    <col min="12560" max="12560" width="11.42578125" style="45"/>
    <col min="12561" max="12561" width="12.140625" style="45" customWidth="1"/>
    <col min="12562" max="12562" width="10.5703125" style="45" customWidth="1"/>
    <col min="12563" max="12563" width="12.42578125" style="45" customWidth="1"/>
    <col min="12564" max="12564" width="15.140625" style="45" customWidth="1"/>
    <col min="12565" max="12565" width="13.5703125" style="45" customWidth="1"/>
    <col min="12566" max="12566" width="13.140625" style="45" customWidth="1"/>
    <col min="12567" max="12567" width="15.7109375" style="45" customWidth="1"/>
    <col min="12568" max="12568" width="37.5703125" style="45" customWidth="1"/>
    <col min="12569" max="12790" width="11.42578125" style="45"/>
    <col min="12791" max="12791" width="10.5703125" style="45" customWidth="1"/>
    <col min="12792" max="12792" width="4.85546875" style="45" customWidth="1"/>
    <col min="12793" max="12793" width="32.42578125" style="45" customWidth="1"/>
    <col min="12794" max="12794" width="9.85546875" style="45" customWidth="1"/>
    <col min="12795" max="12795" width="10.140625" style="45" customWidth="1"/>
    <col min="12796" max="12796" width="12.28515625" style="45" customWidth="1"/>
    <col min="12797" max="12797" width="15.42578125" style="45" customWidth="1"/>
    <col min="12798" max="12798" width="11.85546875" style="45" customWidth="1"/>
    <col min="12799" max="12799" width="13.28515625" style="45" customWidth="1"/>
    <col min="12800" max="12800" width="15.28515625" style="45" customWidth="1"/>
    <col min="12801" max="12801" width="11.85546875" style="45" customWidth="1"/>
    <col min="12802" max="12802" width="6.140625" style="45" customWidth="1"/>
    <col min="12803" max="12803" width="11.85546875" style="45" customWidth="1"/>
    <col min="12804" max="12804" width="9.42578125" style="45" customWidth="1"/>
    <col min="12805" max="12805" width="14.7109375" style="45" customWidth="1"/>
    <col min="12806" max="12806" width="11.5703125" style="45" customWidth="1"/>
    <col min="12807" max="12807" width="0.42578125" style="45" customWidth="1"/>
    <col min="12808" max="12808" width="10.5703125" style="45" bestFit="1" customWidth="1"/>
    <col min="12809" max="12809" width="12.28515625" style="45" customWidth="1"/>
    <col min="12810" max="12810" width="12.5703125" style="45" customWidth="1"/>
    <col min="12811" max="12811" width="10.5703125" style="45" customWidth="1"/>
    <col min="12812" max="12812" width="10.140625" style="45" customWidth="1"/>
    <col min="12813" max="12813" width="8.42578125" style="45" customWidth="1"/>
    <col min="12814" max="12814" width="18.85546875" style="45" customWidth="1"/>
    <col min="12815" max="12815" width="10.28515625" style="45" customWidth="1"/>
    <col min="12816" max="12816" width="11.42578125" style="45"/>
    <col min="12817" max="12817" width="12.140625" style="45" customWidth="1"/>
    <col min="12818" max="12818" width="10.5703125" style="45" customWidth="1"/>
    <col min="12819" max="12819" width="12.42578125" style="45" customWidth="1"/>
    <col min="12820" max="12820" width="15.140625" style="45" customWidth="1"/>
    <col min="12821" max="12821" width="13.5703125" style="45" customWidth="1"/>
    <col min="12822" max="12822" width="13.140625" style="45" customWidth="1"/>
    <col min="12823" max="12823" width="15.7109375" style="45" customWidth="1"/>
    <col min="12824" max="12824" width="37.5703125" style="45" customWidth="1"/>
    <col min="12825" max="13046" width="11.42578125" style="45"/>
    <col min="13047" max="13047" width="10.5703125" style="45" customWidth="1"/>
    <col min="13048" max="13048" width="4.85546875" style="45" customWidth="1"/>
    <col min="13049" max="13049" width="32.42578125" style="45" customWidth="1"/>
    <col min="13050" max="13050" width="9.85546875" style="45" customWidth="1"/>
    <col min="13051" max="13051" width="10.140625" style="45" customWidth="1"/>
    <col min="13052" max="13052" width="12.28515625" style="45" customWidth="1"/>
    <col min="13053" max="13053" width="15.42578125" style="45" customWidth="1"/>
    <col min="13054" max="13054" width="11.85546875" style="45" customWidth="1"/>
    <col min="13055" max="13055" width="13.28515625" style="45" customWidth="1"/>
    <col min="13056" max="13056" width="15.28515625" style="45" customWidth="1"/>
    <col min="13057" max="13057" width="11.85546875" style="45" customWidth="1"/>
    <col min="13058" max="13058" width="6.140625" style="45" customWidth="1"/>
    <col min="13059" max="13059" width="11.85546875" style="45" customWidth="1"/>
    <col min="13060" max="13060" width="9.42578125" style="45" customWidth="1"/>
    <col min="13061" max="13061" width="14.7109375" style="45" customWidth="1"/>
    <col min="13062" max="13062" width="11.5703125" style="45" customWidth="1"/>
    <col min="13063" max="13063" width="0.42578125" style="45" customWidth="1"/>
    <col min="13064" max="13064" width="10.5703125" style="45" bestFit="1" customWidth="1"/>
    <col min="13065" max="13065" width="12.28515625" style="45" customWidth="1"/>
    <col min="13066" max="13066" width="12.5703125" style="45" customWidth="1"/>
    <col min="13067" max="13067" width="10.5703125" style="45" customWidth="1"/>
    <col min="13068" max="13068" width="10.140625" style="45" customWidth="1"/>
    <col min="13069" max="13069" width="8.42578125" style="45" customWidth="1"/>
    <col min="13070" max="13070" width="18.85546875" style="45" customWidth="1"/>
    <col min="13071" max="13071" width="10.28515625" style="45" customWidth="1"/>
    <col min="13072" max="13072" width="11.42578125" style="45"/>
    <col min="13073" max="13073" width="12.140625" style="45" customWidth="1"/>
    <col min="13074" max="13074" width="10.5703125" style="45" customWidth="1"/>
    <col min="13075" max="13075" width="12.42578125" style="45" customWidth="1"/>
    <col min="13076" max="13076" width="15.140625" style="45" customWidth="1"/>
    <col min="13077" max="13077" width="13.5703125" style="45" customWidth="1"/>
    <col min="13078" max="13078" width="13.140625" style="45" customWidth="1"/>
    <col min="13079" max="13079" width="15.7109375" style="45" customWidth="1"/>
    <col min="13080" max="13080" width="37.5703125" style="45" customWidth="1"/>
    <col min="13081" max="13302" width="11.42578125" style="45"/>
    <col min="13303" max="13303" width="10.5703125" style="45" customWidth="1"/>
    <col min="13304" max="13304" width="4.85546875" style="45" customWidth="1"/>
    <col min="13305" max="13305" width="32.42578125" style="45" customWidth="1"/>
    <col min="13306" max="13306" width="9.85546875" style="45" customWidth="1"/>
    <col min="13307" max="13307" width="10.140625" style="45" customWidth="1"/>
    <col min="13308" max="13308" width="12.28515625" style="45" customWidth="1"/>
    <col min="13309" max="13309" width="15.42578125" style="45" customWidth="1"/>
    <col min="13310" max="13310" width="11.85546875" style="45" customWidth="1"/>
    <col min="13311" max="13311" width="13.28515625" style="45" customWidth="1"/>
    <col min="13312" max="13312" width="15.28515625" style="45" customWidth="1"/>
    <col min="13313" max="13313" width="11.85546875" style="45" customWidth="1"/>
    <col min="13314" max="13314" width="6.140625" style="45" customWidth="1"/>
    <col min="13315" max="13315" width="11.85546875" style="45" customWidth="1"/>
    <col min="13316" max="13316" width="9.42578125" style="45" customWidth="1"/>
    <col min="13317" max="13317" width="14.7109375" style="45" customWidth="1"/>
    <col min="13318" max="13318" width="11.5703125" style="45" customWidth="1"/>
    <col min="13319" max="13319" width="0.42578125" style="45" customWidth="1"/>
    <col min="13320" max="13320" width="10.5703125" style="45" bestFit="1" customWidth="1"/>
    <col min="13321" max="13321" width="12.28515625" style="45" customWidth="1"/>
    <col min="13322" max="13322" width="12.5703125" style="45" customWidth="1"/>
    <col min="13323" max="13323" width="10.5703125" style="45" customWidth="1"/>
    <col min="13324" max="13324" width="10.140625" style="45" customWidth="1"/>
    <col min="13325" max="13325" width="8.42578125" style="45" customWidth="1"/>
    <col min="13326" max="13326" width="18.85546875" style="45" customWidth="1"/>
    <col min="13327" max="13327" width="10.28515625" style="45" customWidth="1"/>
    <col min="13328" max="13328" width="11.42578125" style="45"/>
    <col min="13329" max="13329" width="12.140625" style="45" customWidth="1"/>
    <col min="13330" max="13330" width="10.5703125" style="45" customWidth="1"/>
    <col min="13331" max="13331" width="12.42578125" style="45" customWidth="1"/>
    <col min="13332" max="13332" width="15.140625" style="45" customWidth="1"/>
    <col min="13333" max="13333" width="13.5703125" style="45" customWidth="1"/>
    <col min="13334" max="13334" width="13.140625" style="45" customWidth="1"/>
    <col min="13335" max="13335" width="15.7109375" style="45" customWidth="1"/>
    <col min="13336" max="13336" width="37.5703125" style="45" customWidth="1"/>
    <col min="13337" max="13558" width="11.42578125" style="45"/>
    <col min="13559" max="13559" width="10.5703125" style="45" customWidth="1"/>
    <col min="13560" max="13560" width="4.85546875" style="45" customWidth="1"/>
    <col min="13561" max="13561" width="32.42578125" style="45" customWidth="1"/>
    <col min="13562" max="13562" width="9.85546875" style="45" customWidth="1"/>
    <col min="13563" max="13563" width="10.140625" style="45" customWidth="1"/>
    <col min="13564" max="13564" width="12.28515625" style="45" customWidth="1"/>
    <col min="13565" max="13565" width="15.42578125" style="45" customWidth="1"/>
    <col min="13566" max="13566" width="11.85546875" style="45" customWidth="1"/>
    <col min="13567" max="13567" width="13.28515625" style="45" customWidth="1"/>
    <col min="13568" max="13568" width="15.28515625" style="45" customWidth="1"/>
    <col min="13569" max="13569" width="11.85546875" style="45" customWidth="1"/>
    <col min="13570" max="13570" width="6.140625" style="45" customWidth="1"/>
    <col min="13571" max="13571" width="11.85546875" style="45" customWidth="1"/>
    <col min="13572" max="13572" width="9.42578125" style="45" customWidth="1"/>
    <col min="13573" max="13573" width="14.7109375" style="45" customWidth="1"/>
    <col min="13574" max="13574" width="11.5703125" style="45" customWidth="1"/>
    <col min="13575" max="13575" width="0.42578125" style="45" customWidth="1"/>
    <col min="13576" max="13576" width="10.5703125" style="45" bestFit="1" customWidth="1"/>
    <col min="13577" max="13577" width="12.28515625" style="45" customWidth="1"/>
    <col min="13578" max="13578" width="12.5703125" style="45" customWidth="1"/>
    <col min="13579" max="13579" width="10.5703125" style="45" customWidth="1"/>
    <col min="13580" max="13580" width="10.140625" style="45" customWidth="1"/>
    <col min="13581" max="13581" width="8.42578125" style="45" customWidth="1"/>
    <col min="13582" max="13582" width="18.85546875" style="45" customWidth="1"/>
    <col min="13583" max="13583" width="10.28515625" style="45" customWidth="1"/>
    <col min="13584" max="13584" width="11.42578125" style="45"/>
    <col min="13585" max="13585" width="12.140625" style="45" customWidth="1"/>
    <col min="13586" max="13586" width="10.5703125" style="45" customWidth="1"/>
    <col min="13587" max="13587" width="12.42578125" style="45" customWidth="1"/>
    <col min="13588" max="13588" width="15.140625" style="45" customWidth="1"/>
    <col min="13589" max="13589" width="13.5703125" style="45" customWidth="1"/>
    <col min="13590" max="13590" width="13.140625" style="45" customWidth="1"/>
    <col min="13591" max="13591" width="15.7109375" style="45" customWidth="1"/>
    <col min="13592" max="13592" width="37.5703125" style="45" customWidth="1"/>
    <col min="13593" max="13814" width="11.42578125" style="45"/>
    <col min="13815" max="13815" width="10.5703125" style="45" customWidth="1"/>
    <col min="13816" max="13816" width="4.85546875" style="45" customWidth="1"/>
    <col min="13817" max="13817" width="32.42578125" style="45" customWidth="1"/>
    <col min="13818" max="13818" width="9.85546875" style="45" customWidth="1"/>
    <col min="13819" max="13819" width="10.140625" style="45" customWidth="1"/>
    <col min="13820" max="13820" width="12.28515625" style="45" customWidth="1"/>
    <col min="13821" max="13821" width="15.42578125" style="45" customWidth="1"/>
    <col min="13822" max="13822" width="11.85546875" style="45" customWidth="1"/>
    <col min="13823" max="13823" width="13.28515625" style="45" customWidth="1"/>
    <col min="13824" max="13824" width="15.28515625" style="45" customWidth="1"/>
    <col min="13825" max="13825" width="11.85546875" style="45" customWidth="1"/>
    <col min="13826" max="13826" width="6.140625" style="45" customWidth="1"/>
    <col min="13827" max="13827" width="11.85546875" style="45" customWidth="1"/>
    <col min="13828" max="13828" width="9.42578125" style="45" customWidth="1"/>
    <col min="13829" max="13829" width="14.7109375" style="45" customWidth="1"/>
    <col min="13830" max="13830" width="11.5703125" style="45" customWidth="1"/>
    <col min="13831" max="13831" width="0.42578125" style="45" customWidth="1"/>
    <col min="13832" max="13832" width="10.5703125" style="45" bestFit="1" customWidth="1"/>
    <col min="13833" max="13833" width="12.28515625" style="45" customWidth="1"/>
    <col min="13834" max="13834" width="12.5703125" style="45" customWidth="1"/>
    <col min="13835" max="13835" width="10.5703125" style="45" customWidth="1"/>
    <col min="13836" max="13836" width="10.140625" style="45" customWidth="1"/>
    <col min="13837" max="13837" width="8.42578125" style="45" customWidth="1"/>
    <col min="13838" max="13838" width="18.85546875" style="45" customWidth="1"/>
    <col min="13839" max="13839" width="10.28515625" style="45" customWidth="1"/>
    <col min="13840" max="13840" width="11.42578125" style="45"/>
    <col min="13841" max="13841" width="12.140625" style="45" customWidth="1"/>
    <col min="13842" max="13842" width="10.5703125" style="45" customWidth="1"/>
    <col min="13843" max="13843" width="12.42578125" style="45" customWidth="1"/>
    <col min="13844" max="13844" width="15.140625" style="45" customWidth="1"/>
    <col min="13845" max="13845" width="13.5703125" style="45" customWidth="1"/>
    <col min="13846" max="13846" width="13.140625" style="45" customWidth="1"/>
    <col min="13847" max="13847" width="15.7109375" style="45" customWidth="1"/>
    <col min="13848" max="13848" width="37.5703125" style="45" customWidth="1"/>
    <col min="13849" max="14070" width="11.42578125" style="45"/>
    <col min="14071" max="14071" width="10.5703125" style="45" customWidth="1"/>
    <col min="14072" max="14072" width="4.85546875" style="45" customWidth="1"/>
    <col min="14073" max="14073" width="32.42578125" style="45" customWidth="1"/>
    <col min="14074" max="14074" width="9.85546875" style="45" customWidth="1"/>
    <col min="14075" max="14075" width="10.140625" style="45" customWidth="1"/>
    <col min="14076" max="14076" width="12.28515625" style="45" customWidth="1"/>
    <col min="14077" max="14077" width="15.42578125" style="45" customWidth="1"/>
    <col min="14078" max="14078" width="11.85546875" style="45" customWidth="1"/>
    <col min="14079" max="14079" width="13.28515625" style="45" customWidth="1"/>
    <col min="14080" max="14080" width="15.28515625" style="45" customWidth="1"/>
    <col min="14081" max="14081" width="11.85546875" style="45" customWidth="1"/>
    <col min="14082" max="14082" width="6.140625" style="45" customWidth="1"/>
    <col min="14083" max="14083" width="11.85546875" style="45" customWidth="1"/>
    <col min="14084" max="14084" width="9.42578125" style="45" customWidth="1"/>
    <col min="14085" max="14085" width="14.7109375" style="45" customWidth="1"/>
    <col min="14086" max="14086" width="11.5703125" style="45" customWidth="1"/>
    <col min="14087" max="14087" width="0.42578125" style="45" customWidth="1"/>
    <col min="14088" max="14088" width="10.5703125" style="45" bestFit="1" customWidth="1"/>
    <col min="14089" max="14089" width="12.28515625" style="45" customWidth="1"/>
    <col min="14090" max="14090" width="12.5703125" style="45" customWidth="1"/>
    <col min="14091" max="14091" width="10.5703125" style="45" customWidth="1"/>
    <col min="14092" max="14092" width="10.140625" style="45" customWidth="1"/>
    <col min="14093" max="14093" width="8.42578125" style="45" customWidth="1"/>
    <col min="14094" max="14094" width="18.85546875" style="45" customWidth="1"/>
    <col min="14095" max="14095" width="10.28515625" style="45" customWidth="1"/>
    <col min="14096" max="14096" width="11.42578125" style="45"/>
    <col min="14097" max="14097" width="12.140625" style="45" customWidth="1"/>
    <col min="14098" max="14098" width="10.5703125" style="45" customWidth="1"/>
    <col min="14099" max="14099" width="12.42578125" style="45" customWidth="1"/>
    <col min="14100" max="14100" width="15.140625" style="45" customWidth="1"/>
    <col min="14101" max="14101" width="13.5703125" style="45" customWidth="1"/>
    <col min="14102" max="14102" width="13.140625" style="45" customWidth="1"/>
    <col min="14103" max="14103" width="15.7109375" style="45" customWidth="1"/>
    <col min="14104" max="14104" width="37.5703125" style="45" customWidth="1"/>
    <col min="14105" max="14326" width="11.42578125" style="45"/>
    <col min="14327" max="14327" width="10.5703125" style="45" customWidth="1"/>
    <col min="14328" max="14328" width="4.85546875" style="45" customWidth="1"/>
    <col min="14329" max="14329" width="32.42578125" style="45" customWidth="1"/>
    <col min="14330" max="14330" width="9.85546875" style="45" customWidth="1"/>
    <col min="14331" max="14331" width="10.140625" style="45" customWidth="1"/>
    <col min="14332" max="14332" width="12.28515625" style="45" customWidth="1"/>
    <col min="14333" max="14333" width="15.42578125" style="45" customWidth="1"/>
    <col min="14334" max="14334" width="11.85546875" style="45" customWidth="1"/>
    <col min="14335" max="14335" width="13.28515625" style="45" customWidth="1"/>
    <col min="14336" max="14336" width="15.28515625" style="45" customWidth="1"/>
    <col min="14337" max="14337" width="11.85546875" style="45" customWidth="1"/>
    <col min="14338" max="14338" width="6.140625" style="45" customWidth="1"/>
    <col min="14339" max="14339" width="11.85546875" style="45" customWidth="1"/>
    <col min="14340" max="14340" width="9.42578125" style="45" customWidth="1"/>
    <col min="14341" max="14341" width="14.7109375" style="45" customWidth="1"/>
    <col min="14342" max="14342" width="11.5703125" style="45" customWidth="1"/>
    <col min="14343" max="14343" width="0.42578125" style="45" customWidth="1"/>
    <col min="14344" max="14344" width="10.5703125" style="45" bestFit="1" customWidth="1"/>
    <col min="14345" max="14345" width="12.28515625" style="45" customWidth="1"/>
    <col min="14346" max="14346" width="12.5703125" style="45" customWidth="1"/>
    <col min="14347" max="14347" width="10.5703125" style="45" customWidth="1"/>
    <col min="14348" max="14348" width="10.140625" style="45" customWidth="1"/>
    <col min="14349" max="14349" width="8.42578125" style="45" customWidth="1"/>
    <col min="14350" max="14350" width="18.85546875" style="45" customWidth="1"/>
    <col min="14351" max="14351" width="10.28515625" style="45" customWidth="1"/>
    <col min="14352" max="14352" width="11.42578125" style="45"/>
    <col min="14353" max="14353" width="12.140625" style="45" customWidth="1"/>
    <col min="14354" max="14354" width="10.5703125" style="45" customWidth="1"/>
    <col min="14355" max="14355" width="12.42578125" style="45" customWidth="1"/>
    <col min="14356" max="14356" width="15.140625" style="45" customWidth="1"/>
    <col min="14357" max="14357" width="13.5703125" style="45" customWidth="1"/>
    <col min="14358" max="14358" width="13.140625" style="45" customWidth="1"/>
    <col min="14359" max="14359" width="15.7109375" style="45" customWidth="1"/>
    <col min="14360" max="14360" width="37.5703125" style="45" customWidth="1"/>
    <col min="14361" max="14582" width="11.42578125" style="45"/>
    <col min="14583" max="14583" width="10.5703125" style="45" customWidth="1"/>
    <col min="14584" max="14584" width="4.85546875" style="45" customWidth="1"/>
    <col min="14585" max="14585" width="32.42578125" style="45" customWidth="1"/>
    <col min="14586" max="14586" width="9.85546875" style="45" customWidth="1"/>
    <col min="14587" max="14587" width="10.140625" style="45" customWidth="1"/>
    <col min="14588" max="14588" width="12.28515625" style="45" customWidth="1"/>
    <col min="14589" max="14589" width="15.42578125" style="45" customWidth="1"/>
    <col min="14590" max="14590" width="11.85546875" style="45" customWidth="1"/>
    <col min="14591" max="14591" width="13.28515625" style="45" customWidth="1"/>
    <col min="14592" max="14592" width="15.28515625" style="45" customWidth="1"/>
    <col min="14593" max="14593" width="11.85546875" style="45" customWidth="1"/>
    <col min="14594" max="14594" width="6.140625" style="45" customWidth="1"/>
    <col min="14595" max="14595" width="11.85546875" style="45" customWidth="1"/>
    <col min="14596" max="14596" width="9.42578125" style="45" customWidth="1"/>
    <col min="14597" max="14597" width="14.7109375" style="45" customWidth="1"/>
    <col min="14598" max="14598" width="11.5703125" style="45" customWidth="1"/>
    <col min="14599" max="14599" width="0.42578125" style="45" customWidth="1"/>
    <col min="14600" max="14600" width="10.5703125" style="45" bestFit="1" customWidth="1"/>
    <col min="14601" max="14601" width="12.28515625" style="45" customWidth="1"/>
    <col min="14602" max="14602" width="12.5703125" style="45" customWidth="1"/>
    <col min="14603" max="14603" width="10.5703125" style="45" customWidth="1"/>
    <col min="14604" max="14604" width="10.140625" style="45" customWidth="1"/>
    <col min="14605" max="14605" width="8.42578125" style="45" customWidth="1"/>
    <col min="14606" max="14606" width="18.85546875" style="45" customWidth="1"/>
    <col min="14607" max="14607" width="10.28515625" style="45" customWidth="1"/>
    <col min="14608" max="14608" width="11.42578125" style="45"/>
    <col min="14609" max="14609" width="12.140625" style="45" customWidth="1"/>
    <col min="14610" max="14610" width="10.5703125" style="45" customWidth="1"/>
    <col min="14611" max="14611" width="12.42578125" style="45" customWidth="1"/>
    <col min="14612" max="14612" width="15.140625" style="45" customWidth="1"/>
    <col min="14613" max="14613" width="13.5703125" style="45" customWidth="1"/>
    <col min="14614" max="14614" width="13.140625" style="45" customWidth="1"/>
    <col min="14615" max="14615" width="15.7109375" style="45" customWidth="1"/>
    <col min="14616" max="14616" width="37.5703125" style="45" customWidth="1"/>
    <col min="14617" max="14838" width="11.42578125" style="45"/>
    <col min="14839" max="14839" width="10.5703125" style="45" customWidth="1"/>
    <col min="14840" max="14840" width="4.85546875" style="45" customWidth="1"/>
    <col min="14841" max="14841" width="32.42578125" style="45" customWidth="1"/>
    <col min="14842" max="14842" width="9.85546875" style="45" customWidth="1"/>
    <col min="14843" max="14843" width="10.140625" style="45" customWidth="1"/>
    <col min="14844" max="14844" width="12.28515625" style="45" customWidth="1"/>
    <col min="14845" max="14845" width="15.42578125" style="45" customWidth="1"/>
    <col min="14846" max="14846" width="11.85546875" style="45" customWidth="1"/>
    <col min="14847" max="14847" width="13.28515625" style="45" customWidth="1"/>
    <col min="14848" max="14848" width="15.28515625" style="45" customWidth="1"/>
    <col min="14849" max="14849" width="11.85546875" style="45" customWidth="1"/>
    <col min="14850" max="14850" width="6.140625" style="45" customWidth="1"/>
    <col min="14851" max="14851" width="11.85546875" style="45" customWidth="1"/>
    <col min="14852" max="14852" width="9.42578125" style="45" customWidth="1"/>
    <col min="14853" max="14853" width="14.7109375" style="45" customWidth="1"/>
    <col min="14854" max="14854" width="11.5703125" style="45" customWidth="1"/>
    <col min="14855" max="14855" width="0.42578125" style="45" customWidth="1"/>
    <col min="14856" max="14856" width="10.5703125" style="45" bestFit="1" customWidth="1"/>
    <col min="14857" max="14857" width="12.28515625" style="45" customWidth="1"/>
    <col min="14858" max="14858" width="12.5703125" style="45" customWidth="1"/>
    <col min="14859" max="14859" width="10.5703125" style="45" customWidth="1"/>
    <col min="14860" max="14860" width="10.140625" style="45" customWidth="1"/>
    <col min="14861" max="14861" width="8.42578125" style="45" customWidth="1"/>
    <col min="14862" max="14862" width="18.85546875" style="45" customWidth="1"/>
    <col min="14863" max="14863" width="10.28515625" style="45" customWidth="1"/>
    <col min="14864" max="14864" width="11.42578125" style="45"/>
    <col min="14865" max="14865" width="12.140625" style="45" customWidth="1"/>
    <col min="14866" max="14866" width="10.5703125" style="45" customWidth="1"/>
    <col min="14867" max="14867" width="12.42578125" style="45" customWidth="1"/>
    <col min="14868" max="14868" width="15.140625" style="45" customWidth="1"/>
    <col min="14869" max="14869" width="13.5703125" style="45" customWidth="1"/>
    <col min="14870" max="14870" width="13.140625" style="45" customWidth="1"/>
    <col min="14871" max="14871" width="15.7109375" style="45" customWidth="1"/>
    <col min="14872" max="14872" width="37.5703125" style="45" customWidth="1"/>
    <col min="14873" max="15094" width="11.42578125" style="45"/>
    <col min="15095" max="15095" width="10.5703125" style="45" customWidth="1"/>
    <col min="15096" max="15096" width="4.85546875" style="45" customWidth="1"/>
    <col min="15097" max="15097" width="32.42578125" style="45" customWidth="1"/>
    <col min="15098" max="15098" width="9.85546875" style="45" customWidth="1"/>
    <col min="15099" max="15099" width="10.140625" style="45" customWidth="1"/>
    <col min="15100" max="15100" width="12.28515625" style="45" customWidth="1"/>
    <col min="15101" max="15101" width="15.42578125" style="45" customWidth="1"/>
    <col min="15102" max="15102" width="11.85546875" style="45" customWidth="1"/>
    <col min="15103" max="15103" width="13.28515625" style="45" customWidth="1"/>
    <col min="15104" max="15104" width="15.28515625" style="45" customWidth="1"/>
    <col min="15105" max="15105" width="11.85546875" style="45" customWidth="1"/>
    <col min="15106" max="15106" width="6.140625" style="45" customWidth="1"/>
    <col min="15107" max="15107" width="11.85546875" style="45" customWidth="1"/>
    <col min="15108" max="15108" width="9.42578125" style="45" customWidth="1"/>
    <col min="15109" max="15109" width="14.7109375" style="45" customWidth="1"/>
    <col min="15110" max="15110" width="11.5703125" style="45" customWidth="1"/>
    <col min="15111" max="15111" width="0.42578125" style="45" customWidth="1"/>
    <col min="15112" max="15112" width="10.5703125" style="45" bestFit="1" customWidth="1"/>
    <col min="15113" max="15113" width="12.28515625" style="45" customWidth="1"/>
    <col min="15114" max="15114" width="12.5703125" style="45" customWidth="1"/>
    <col min="15115" max="15115" width="10.5703125" style="45" customWidth="1"/>
    <col min="15116" max="15116" width="10.140625" style="45" customWidth="1"/>
    <col min="15117" max="15117" width="8.42578125" style="45" customWidth="1"/>
    <col min="15118" max="15118" width="18.85546875" style="45" customWidth="1"/>
    <col min="15119" max="15119" width="10.28515625" style="45" customWidth="1"/>
    <col min="15120" max="15120" width="11.42578125" style="45"/>
    <col min="15121" max="15121" width="12.140625" style="45" customWidth="1"/>
    <col min="15122" max="15122" width="10.5703125" style="45" customWidth="1"/>
    <col min="15123" max="15123" width="12.42578125" style="45" customWidth="1"/>
    <col min="15124" max="15124" width="15.140625" style="45" customWidth="1"/>
    <col min="15125" max="15125" width="13.5703125" style="45" customWidth="1"/>
    <col min="15126" max="15126" width="13.140625" style="45" customWidth="1"/>
    <col min="15127" max="15127" width="15.7109375" style="45" customWidth="1"/>
    <col min="15128" max="15128" width="37.5703125" style="45" customWidth="1"/>
    <col min="15129" max="15350" width="11.42578125" style="45"/>
    <col min="15351" max="15351" width="10.5703125" style="45" customWidth="1"/>
    <col min="15352" max="15352" width="4.85546875" style="45" customWidth="1"/>
    <col min="15353" max="15353" width="32.42578125" style="45" customWidth="1"/>
    <col min="15354" max="15354" width="9.85546875" style="45" customWidth="1"/>
    <col min="15355" max="15355" width="10.140625" style="45" customWidth="1"/>
    <col min="15356" max="15356" width="12.28515625" style="45" customWidth="1"/>
    <col min="15357" max="15357" width="15.42578125" style="45" customWidth="1"/>
    <col min="15358" max="15358" width="11.85546875" style="45" customWidth="1"/>
    <col min="15359" max="15359" width="13.28515625" style="45" customWidth="1"/>
    <col min="15360" max="15360" width="15.28515625" style="45" customWidth="1"/>
    <col min="15361" max="15361" width="11.85546875" style="45" customWidth="1"/>
    <col min="15362" max="15362" width="6.140625" style="45" customWidth="1"/>
    <col min="15363" max="15363" width="11.85546875" style="45" customWidth="1"/>
    <col min="15364" max="15364" width="9.42578125" style="45" customWidth="1"/>
    <col min="15365" max="15365" width="14.7109375" style="45" customWidth="1"/>
    <col min="15366" max="15366" width="11.5703125" style="45" customWidth="1"/>
    <col min="15367" max="15367" width="0.42578125" style="45" customWidth="1"/>
    <col min="15368" max="15368" width="10.5703125" style="45" bestFit="1" customWidth="1"/>
    <col min="15369" max="15369" width="12.28515625" style="45" customWidth="1"/>
    <col min="15370" max="15370" width="12.5703125" style="45" customWidth="1"/>
    <col min="15371" max="15371" width="10.5703125" style="45" customWidth="1"/>
    <col min="15372" max="15372" width="10.140625" style="45" customWidth="1"/>
    <col min="15373" max="15373" width="8.42578125" style="45" customWidth="1"/>
    <col min="15374" max="15374" width="18.85546875" style="45" customWidth="1"/>
    <col min="15375" max="15375" width="10.28515625" style="45" customWidth="1"/>
    <col min="15376" max="15376" width="11.42578125" style="45"/>
    <col min="15377" max="15377" width="12.140625" style="45" customWidth="1"/>
    <col min="15378" max="15378" width="10.5703125" style="45" customWidth="1"/>
    <col min="15379" max="15379" width="12.42578125" style="45" customWidth="1"/>
    <col min="15380" max="15380" width="15.140625" style="45" customWidth="1"/>
    <col min="15381" max="15381" width="13.5703125" style="45" customWidth="1"/>
    <col min="15382" max="15382" width="13.140625" style="45" customWidth="1"/>
    <col min="15383" max="15383" width="15.7109375" style="45" customWidth="1"/>
    <col min="15384" max="15384" width="37.5703125" style="45" customWidth="1"/>
    <col min="15385" max="15606" width="11.42578125" style="45"/>
    <col min="15607" max="15607" width="10.5703125" style="45" customWidth="1"/>
    <col min="15608" max="15608" width="4.85546875" style="45" customWidth="1"/>
    <col min="15609" max="15609" width="32.42578125" style="45" customWidth="1"/>
    <col min="15610" max="15610" width="9.85546875" style="45" customWidth="1"/>
    <col min="15611" max="15611" width="10.140625" style="45" customWidth="1"/>
    <col min="15612" max="15612" width="12.28515625" style="45" customWidth="1"/>
    <col min="15613" max="15613" width="15.42578125" style="45" customWidth="1"/>
    <col min="15614" max="15614" width="11.85546875" style="45" customWidth="1"/>
    <col min="15615" max="15615" width="13.28515625" style="45" customWidth="1"/>
    <col min="15616" max="15616" width="15.28515625" style="45" customWidth="1"/>
    <col min="15617" max="15617" width="11.85546875" style="45" customWidth="1"/>
    <col min="15618" max="15618" width="6.140625" style="45" customWidth="1"/>
    <col min="15619" max="15619" width="11.85546875" style="45" customWidth="1"/>
    <col min="15620" max="15620" width="9.42578125" style="45" customWidth="1"/>
    <col min="15621" max="15621" width="14.7109375" style="45" customWidth="1"/>
    <col min="15622" max="15622" width="11.5703125" style="45" customWidth="1"/>
    <col min="15623" max="15623" width="0.42578125" style="45" customWidth="1"/>
    <col min="15624" max="15624" width="10.5703125" style="45" bestFit="1" customWidth="1"/>
    <col min="15625" max="15625" width="12.28515625" style="45" customWidth="1"/>
    <col min="15626" max="15626" width="12.5703125" style="45" customWidth="1"/>
    <col min="15627" max="15627" width="10.5703125" style="45" customWidth="1"/>
    <col min="15628" max="15628" width="10.140625" style="45" customWidth="1"/>
    <col min="15629" max="15629" width="8.42578125" style="45" customWidth="1"/>
    <col min="15630" max="15630" width="18.85546875" style="45" customWidth="1"/>
    <col min="15631" max="15631" width="10.28515625" style="45" customWidth="1"/>
    <col min="15632" max="15632" width="11.42578125" style="45"/>
    <col min="15633" max="15633" width="12.140625" style="45" customWidth="1"/>
    <col min="15634" max="15634" width="10.5703125" style="45" customWidth="1"/>
    <col min="15635" max="15635" width="12.42578125" style="45" customWidth="1"/>
    <col min="15636" max="15636" width="15.140625" style="45" customWidth="1"/>
    <col min="15637" max="15637" width="13.5703125" style="45" customWidth="1"/>
    <col min="15638" max="15638" width="13.140625" style="45" customWidth="1"/>
    <col min="15639" max="15639" width="15.7109375" style="45" customWidth="1"/>
    <col min="15640" max="15640" width="37.5703125" style="45" customWidth="1"/>
    <col min="15641" max="15862" width="11.42578125" style="45"/>
    <col min="15863" max="15863" width="10.5703125" style="45" customWidth="1"/>
    <col min="15864" max="15864" width="4.85546875" style="45" customWidth="1"/>
    <col min="15865" max="15865" width="32.42578125" style="45" customWidth="1"/>
    <col min="15866" max="15866" width="9.85546875" style="45" customWidth="1"/>
    <col min="15867" max="15867" width="10.140625" style="45" customWidth="1"/>
    <col min="15868" max="15868" width="12.28515625" style="45" customWidth="1"/>
    <col min="15869" max="15869" width="15.42578125" style="45" customWidth="1"/>
    <col min="15870" max="15870" width="11.85546875" style="45" customWidth="1"/>
    <col min="15871" max="15871" width="13.28515625" style="45" customWidth="1"/>
    <col min="15872" max="15872" width="15.28515625" style="45" customWidth="1"/>
    <col min="15873" max="15873" width="11.85546875" style="45" customWidth="1"/>
    <col min="15874" max="15874" width="6.140625" style="45" customWidth="1"/>
    <col min="15875" max="15875" width="11.85546875" style="45" customWidth="1"/>
    <col min="15876" max="15876" width="9.42578125" style="45" customWidth="1"/>
    <col min="15877" max="15877" width="14.7109375" style="45" customWidth="1"/>
    <col min="15878" max="15878" width="11.5703125" style="45" customWidth="1"/>
    <col min="15879" max="15879" width="0.42578125" style="45" customWidth="1"/>
    <col min="15880" max="15880" width="10.5703125" style="45" bestFit="1" customWidth="1"/>
    <col min="15881" max="15881" width="12.28515625" style="45" customWidth="1"/>
    <col min="15882" max="15882" width="12.5703125" style="45" customWidth="1"/>
    <col min="15883" max="15883" width="10.5703125" style="45" customWidth="1"/>
    <col min="15884" max="15884" width="10.140625" style="45" customWidth="1"/>
    <col min="15885" max="15885" width="8.42578125" style="45" customWidth="1"/>
    <col min="15886" max="15886" width="18.85546875" style="45" customWidth="1"/>
    <col min="15887" max="15887" width="10.28515625" style="45" customWidth="1"/>
    <col min="15888" max="15888" width="11.42578125" style="45"/>
    <col min="15889" max="15889" width="12.140625" style="45" customWidth="1"/>
    <col min="15890" max="15890" width="10.5703125" style="45" customWidth="1"/>
    <col min="15891" max="15891" width="12.42578125" style="45" customWidth="1"/>
    <col min="15892" max="15892" width="15.140625" style="45" customWidth="1"/>
    <col min="15893" max="15893" width="13.5703125" style="45" customWidth="1"/>
    <col min="15894" max="15894" width="13.140625" style="45" customWidth="1"/>
    <col min="15895" max="15895" width="15.7109375" style="45" customWidth="1"/>
    <col min="15896" max="15896" width="37.5703125" style="45" customWidth="1"/>
    <col min="15897" max="16118" width="11.42578125" style="45"/>
    <col min="16119" max="16119" width="10.5703125" style="45" customWidth="1"/>
    <col min="16120" max="16120" width="4.85546875" style="45" customWidth="1"/>
    <col min="16121" max="16121" width="32.42578125" style="45" customWidth="1"/>
    <col min="16122" max="16122" width="9.85546875" style="45" customWidth="1"/>
    <col min="16123" max="16123" width="10.140625" style="45" customWidth="1"/>
    <col min="16124" max="16124" width="12.28515625" style="45" customWidth="1"/>
    <col min="16125" max="16125" width="15.42578125" style="45" customWidth="1"/>
    <col min="16126" max="16126" width="11.85546875" style="45" customWidth="1"/>
    <col min="16127" max="16127" width="13.28515625" style="45" customWidth="1"/>
    <col min="16128" max="16128" width="15.28515625" style="45" customWidth="1"/>
    <col min="16129" max="16129" width="11.85546875" style="45" customWidth="1"/>
    <col min="16130" max="16130" width="6.140625" style="45" customWidth="1"/>
    <col min="16131" max="16131" width="11.85546875" style="45" customWidth="1"/>
    <col min="16132" max="16132" width="9.42578125" style="45" customWidth="1"/>
    <col min="16133" max="16133" width="14.7109375" style="45" customWidth="1"/>
    <col min="16134" max="16134" width="11.5703125" style="45" customWidth="1"/>
    <col min="16135" max="16135" width="0.42578125" style="45" customWidth="1"/>
    <col min="16136" max="16136" width="10.5703125" style="45" bestFit="1" customWidth="1"/>
    <col min="16137" max="16137" width="12.28515625" style="45" customWidth="1"/>
    <col min="16138" max="16138" width="12.5703125" style="45" customWidth="1"/>
    <col min="16139" max="16139" width="10.5703125" style="45" customWidth="1"/>
    <col min="16140" max="16140" width="10.140625" style="45" customWidth="1"/>
    <col min="16141" max="16141" width="8.42578125" style="45" customWidth="1"/>
    <col min="16142" max="16142" width="18.85546875" style="45" customWidth="1"/>
    <col min="16143" max="16143" width="10.28515625" style="45" customWidth="1"/>
    <col min="16144" max="16144" width="11.42578125" style="45"/>
    <col min="16145" max="16145" width="12.140625" style="45" customWidth="1"/>
    <col min="16146" max="16146" width="10.5703125" style="45" customWidth="1"/>
    <col min="16147" max="16147" width="12.42578125" style="45" customWidth="1"/>
    <col min="16148" max="16148" width="15.140625" style="45" customWidth="1"/>
    <col min="16149" max="16149" width="13.5703125" style="45" customWidth="1"/>
    <col min="16150" max="16150" width="13.140625" style="45" customWidth="1"/>
    <col min="16151" max="16151" width="15.7109375" style="45" customWidth="1"/>
    <col min="16152" max="16152" width="37.5703125" style="45" customWidth="1"/>
    <col min="16153" max="16384" width="11.42578125" style="45"/>
  </cols>
  <sheetData>
    <row r="1" spans="1:24" x14ac:dyDescent="0.25">
      <c r="C1" s="87" t="s">
        <v>141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4"/>
      <c r="W1" s="44"/>
      <c r="X1" s="4"/>
    </row>
    <row r="2" spans="1:24" x14ac:dyDescent="0.25">
      <c r="C2" s="3" t="s">
        <v>1</v>
      </c>
      <c r="D2" s="4"/>
      <c r="E2" s="88" t="s">
        <v>2</v>
      </c>
      <c r="F2" s="88"/>
      <c r="G2" s="88"/>
      <c r="H2" s="88"/>
      <c r="I2" s="88"/>
      <c r="J2" s="88"/>
      <c r="K2" s="88"/>
      <c r="L2" s="88" t="s">
        <v>3</v>
      </c>
      <c r="M2" s="88"/>
      <c r="N2" s="88"/>
      <c r="O2" s="88"/>
      <c r="P2" s="88"/>
      <c r="Q2" s="88"/>
      <c r="R2" s="88"/>
      <c r="S2" s="88"/>
      <c r="T2" s="88"/>
      <c r="U2" s="4"/>
      <c r="V2" s="4"/>
      <c r="W2" s="44"/>
      <c r="X2" s="4"/>
    </row>
    <row r="3" spans="1:24" ht="60" x14ac:dyDescent="0.25">
      <c r="A3" s="89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13</v>
      </c>
      <c r="K3" s="12" t="s">
        <v>14</v>
      </c>
      <c r="L3" s="12" t="s">
        <v>15</v>
      </c>
      <c r="M3" s="12" t="s">
        <v>16</v>
      </c>
      <c r="N3" s="12" t="s">
        <v>17</v>
      </c>
      <c r="O3" s="12" t="s">
        <v>18</v>
      </c>
      <c r="P3" s="12" t="s">
        <v>19</v>
      </c>
      <c r="Q3" s="12" t="s">
        <v>20</v>
      </c>
      <c r="R3" s="12" t="s">
        <v>21</v>
      </c>
      <c r="S3" s="12" t="s">
        <v>22</v>
      </c>
      <c r="T3" s="12" t="s">
        <v>23</v>
      </c>
      <c r="U3" s="6" t="s">
        <v>24</v>
      </c>
      <c r="V3" s="6"/>
      <c r="W3" s="46"/>
      <c r="X3" s="6" t="s">
        <v>25</v>
      </c>
    </row>
    <row r="4" spans="1:24" x14ac:dyDescent="0.25">
      <c r="A4" s="90"/>
      <c r="B4" s="4">
        <v>1</v>
      </c>
      <c r="C4" s="11" t="s">
        <v>26</v>
      </c>
      <c r="D4" s="6" t="s">
        <v>27</v>
      </c>
      <c r="E4" s="5">
        <v>4815000</v>
      </c>
      <c r="F4" s="5">
        <v>30</v>
      </c>
      <c r="G4" s="5">
        <v>4815000</v>
      </c>
      <c r="H4" s="5"/>
      <c r="I4" s="5"/>
      <c r="J4" s="5"/>
      <c r="K4" s="5">
        <f t="shared" ref="K4:K36" si="0">SUM(G4:I4)+J4</f>
        <v>4815000</v>
      </c>
      <c r="L4" s="5">
        <f t="shared" ref="L4:L37" si="1">+G4*4%</f>
        <v>192600</v>
      </c>
      <c r="M4" s="5">
        <f>+G4*5%</f>
        <v>240750</v>
      </c>
      <c r="N4" s="5"/>
      <c r="O4" s="5"/>
      <c r="P4" s="5">
        <v>19000</v>
      </c>
      <c r="Q4" s="5"/>
      <c r="R4" s="5"/>
      <c r="S4" s="5"/>
      <c r="T4" s="5">
        <f t="shared" ref="T4:T55" si="2">SUM(L4:S4)</f>
        <v>452350</v>
      </c>
      <c r="U4" s="7">
        <f t="shared" ref="U4:U9" si="3">+K4-T4</f>
        <v>4362650</v>
      </c>
      <c r="V4" s="7"/>
      <c r="W4" s="44"/>
      <c r="X4" s="7">
        <f t="shared" ref="X4:X67" si="4">U4+V4-W4</f>
        <v>4362650</v>
      </c>
    </row>
    <row r="5" spans="1:24" ht="24" x14ac:dyDescent="0.25">
      <c r="A5" s="90"/>
      <c r="B5" s="4">
        <v>2</v>
      </c>
      <c r="C5" s="11" t="s">
        <v>28</v>
      </c>
      <c r="D5" s="6" t="s">
        <v>27</v>
      </c>
      <c r="E5" s="5">
        <v>4000000</v>
      </c>
      <c r="F5" s="5">
        <v>30</v>
      </c>
      <c r="G5" s="5">
        <f t="shared" ref="G5:G9" si="5">+E5/30*F5</f>
        <v>4000000.0000000005</v>
      </c>
      <c r="H5" s="5"/>
      <c r="I5" s="5">
        <v>800000</v>
      </c>
      <c r="J5" s="5"/>
      <c r="K5" s="5">
        <f t="shared" si="0"/>
        <v>4800000</v>
      </c>
      <c r="L5" s="5">
        <f>+E5*4%</f>
        <v>160000</v>
      </c>
      <c r="M5" s="5">
        <f>+E5*5%</f>
        <v>200000</v>
      </c>
      <c r="N5" s="5"/>
      <c r="O5" s="5"/>
      <c r="P5" s="5">
        <v>31064</v>
      </c>
      <c r="Q5" s="5"/>
      <c r="R5" s="5"/>
      <c r="S5" s="5"/>
      <c r="T5" s="5">
        <f t="shared" si="2"/>
        <v>391064</v>
      </c>
      <c r="U5" s="7">
        <f t="shared" si="3"/>
        <v>4408936</v>
      </c>
      <c r="V5" s="7"/>
      <c r="W5" s="44"/>
      <c r="X5" s="7">
        <f t="shared" si="4"/>
        <v>4408936</v>
      </c>
    </row>
    <row r="6" spans="1:24" x14ac:dyDescent="0.25">
      <c r="A6" s="90"/>
      <c r="B6" s="4">
        <v>3</v>
      </c>
      <c r="C6" s="11" t="s">
        <v>29</v>
      </c>
      <c r="D6" s="6" t="s">
        <v>27</v>
      </c>
      <c r="E6" s="5">
        <v>5500000</v>
      </c>
      <c r="F6" s="5">
        <v>29</v>
      </c>
      <c r="G6" s="5">
        <v>5438895</v>
      </c>
      <c r="H6" s="5"/>
      <c r="I6" s="5"/>
      <c r="J6" s="5"/>
      <c r="K6" s="5">
        <f t="shared" si="0"/>
        <v>5438895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4841895</v>
      </c>
      <c r="V6" s="7"/>
      <c r="W6" s="44"/>
      <c r="X6" s="7">
        <f t="shared" si="4"/>
        <v>4841895</v>
      </c>
    </row>
    <row r="7" spans="1:24" x14ac:dyDescent="0.25">
      <c r="A7" s="90"/>
      <c r="B7" s="4">
        <v>4</v>
      </c>
      <c r="C7" s="11" t="s">
        <v>30</v>
      </c>
      <c r="D7" s="6" t="s">
        <v>27</v>
      </c>
      <c r="E7" s="5">
        <v>5492319</v>
      </c>
      <c r="F7" s="5">
        <v>30</v>
      </c>
      <c r="G7" s="5">
        <f t="shared" ref="G7" si="6">+E7/30*F7</f>
        <v>5492319</v>
      </c>
      <c r="H7" s="5"/>
      <c r="I7" s="5"/>
      <c r="J7" s="5"/>
      <c r="K7" s="5">
        <f t="shared" ref="K7" si="7">SUM(G7:I7)+J7</f>
        <v>5492319</v>
      </c>
      <c r="L7" s="5">
        <f>+K7*4%</f>
        <v>219692.76</v>
      </c>
      <c r="M7" s="5">
        <f>+K7*5%</f>
        <v>274615.95</v>
      </c>
      <c r="N7" s="5"/>
      <c r="O7" s="5"/>
      <c r="P7" s="17">
        <v>98000</v>
      </c>
      <c r="Q7" s="5"/>
      <c r="R7" s="5"/>
      <c r="S7" s="5">
        <v>726520</v>
      </c>
      <c r="T7" s="5">
        <f t="shared" ref="T7" si="8">SUM(L7:S7)</f>
        <v>1318828.71</v>
      </c>
      <c r="U7" s="7">
        <f t="shared" si="3"/>
        <v>4173490.29</v>
      </c>
      <c r="V7" s="7"/>
      <c r="W7" s="44"/>
      <c r="X7" s="7">
        <f t="shared" si="4"/>
        <v>4173490.29</v>
      </c>
    </row>
    <row r="8" spans="1:24" x14ac:dyDescent="0.25">
      <c r="A8" s="90"/>
      <c r="B8" s="4">
        <v>5</v>
      </c>
      <c r="C8" s="11" t="s">
        <v>142</v>
      </c>
      <c r="D8" s="6" t="s">
        <v>27</v>
      </c>
      <c r="E8" s="5">
        <v>5000000</v>
      </c>
      <c r="F8" s="5">
        <v>30</v>
      </c>
      <c r="G8" s="5">
        <f t="shared" si="5"/>
        <v>5000000</v>
      </c>
      <c r="H8" s="5"/>
      <c r="I8" s="5"/>
      <c r="J8" s="5"/>
      <c r="K8" s="5">
        <f t="shared" si="0"/>
        <v>5000000</v>
      </c>
      <c r="L8" s="5">
        <f>+K8*4%</f>
        <v>200000</v>
      </c>
      <c r="M8" s="5">
        <f>+K8*5%</f>
        <v>250000</v>
      </c>
      <c r="N8" s="5"/>
      <c r="O8" s="5"/>
      <c r="P8" s="17">
        <v>102000</v>
      </c>
      <c r="Q8" s="5"/>
      <c r="R8" s="5"/>
      <c r="S8" s="5"/>
      <c r="T8" s="5">
        <f t="shared" si="2"/>
        <v>552000</v>
      </c>
      <c r="U8" s="7">
        <f t="shared" si="3"/>
        <v>4448000</v>
      </c>
      <c r="V8" s="7"/>
      <c r="W8" s="44"/>
      <c r="X8" s="7">
        <f t="shared" si="4"/>
        <v>4448000</v>
      </c>
    </row>
    <row r="9" spans="1:24" x14ac:dyDescent="0.25">
      <c r="A9" s="90"/>
      <c r="B9" s="4">
        <v>6</v>
      </c>
      <c r="C9" s="11" t="s">
        <v>31</v>
      </c>
      <c r="D9" s="6" t="s">
        <v>27</v>
      </c>
      <c r="E9" s="5">
        <v>5000000</v>
      </c>
      <c r="F9" s="5">
        <v>30</v>
      </c>
      <c r="G9" s="5">
        <f t="shared" si="5"/>
        <v>5000000</v>
      </c>
      <c r="H9" s="5"/>
      <c r="I9" s="5">
        <v>2012670</v>
      </c>
      <c r="J9" s="5"/>
      <c r="K9" s="5">
        <f t="shared" si="0"/>
        <v>7012670</v>
      </c>
      <c r="L9" s="5">
        <f t="shared" si="1"/>
        <v>200000</v>
      </c>
      <c r="M9" s="5">
        <f t="shared" ref="M9:M35" si="9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2"/>
        <v>1200000</v>
      </c>
      <c r="U9" s="7">
        <f t="shared" si="3"/>
        <v>5812670</v>
      </c>
      <c r="V9" s="7"/>
      <c r="W9" s="44"/>
      <c r="X9" s="7">
        <f t="shared" si="4"/>
        <v>5812670</v>
      </c>
    </row>
    <row r="10" spans="1:24" x14ac:dyDescent="0.25">
      <c r="A10" s="90"/>
      <c r="B10" s="4">
        <v>7</v>
      </c>
      <c r="C10" s="11" t="s">
        <v>32</v>
      </c>
      <c r="D10" s="6" t="s">
        <v>27</v>
      </c>
      <c r="E10" s="5">
        <v>4500000</v>
      </c>
      <c r="F10" s="5">
        <v>30</v>
      </c>
      <c r="G10" s="5">
        <f>E10/30*F10</f>
        <v>4500000</v>
      </c>
      <c r="H10" s="5"/>
      <c r="I10" s="5"/>
      <c r="J10" s="5"/>
      <c r="K10" s="5">
        <f t="shared" si="0"/>
        <v>4500000</v>
      </c>
      <c r="L10" s="5">
        <f>+E10*4%</f>
        <v>180000</v>
      </c>
      <c r="M10" s="5">
        <f>+E10*5%</f>
        <v>225000</v>
      </c>
      <c r="N10" s="5"/>
      <c r="O10" s="5"/>
      <c r="P10" s="5">
        <v>2545</v>
      </c>
      <c r="Q10" s="5"/>
      <c r="R10" s="5"/>
      <c r="S10" s="5">
        <v>945750</v>
      </c>
      <c r="T10" s="5">
        <f t="shared" si="2"/>
        <v>1353295</v>
      </c>
      <c r="U10" s="7">
        <f>K10-T10</f>
        <v>3146705</v>
      </c>
      <c r="V10" s="7"/>
      <c r="W10" s="44"/>
      <c r="X10" s="7">
        <f t="shared" si="4"/>
        <v>3146705</v>
      </c>
    </row>
    <row r="11" spans="1:24" x14ac:dyDescent="0.25">
      <c r="A11" s="90"/>
      <c r="B11" s="4">
        <v>8</v>
      </c>
      <c r="C11" s="11" t="s">
        <v>33</v>
      </c>
      <c r="D11" s="6" t="s">
        <v>27</v>
      </c>
      <c r="E11" s="5">
        <v>4500000</v>
      </c>
      <c r="F11" s="5">
        <v>30</v>
      </c>
      <c r="G11" s="5">
        <f>E11/30*F11</f>
        <v>4500000</v>
      </c>
      <c r="H11" s="5"/>
      <c r="I11" s="5"/>
      <c r="J11" s="5"/>
      <c r="K11" s="5">
        <f t="shared" ref="K11:K12" si="10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:T12" si="11">SUM(L11:S11)</f>
        <v>415000</v>
      </c>
      <c r="U11" s="7">
        <f>K11-T11</f>
        <v>4085000</v>
      </c>
      <c r="V11" s="7"/>
      <c r="W11" s="44"/>
      <c r="X11" s="7">
        <f t="shared" si="4"/>
        <v>4085000</v>
      </c>
    </row>
    <row r="12" spans="1:24" ht="24" x14ac:dyDescent="0.25">
      <c r="A12" s="90"/>
      <c r="B12" s="4">
        <v>9</v>
      </c>
      <c r="C12" s="11" t="s">
        <v>34</v>
      </c>
      <c r="D12" s="6" t="s">
        <v>35</v>
      </c>
      <c r="E12" s="5">
        <v>4500000</v>
      </c>
      <c r="F12" s="5">
        <v>30</v>
      </c>
      <c r="G12" s="5">
        <f>E12/30*F12</f>
        <v>4500000</v>
      </c>
      <c r="H12" s="5"/>
      <c r="I12" s="5"/>
      <c r="J12" s="5"/>
      <c r="K12" s="5">
        <f t="shared" si="10"/>
        <v>4500000</v>
      </c>
      <c r="L12" s="5">
        <f>+G12*4%</f>
        <v>180000</v>
      </c>
      <c r="M12" s="5">
        <f>+G12*5%</f>
        <v>225000</v>
      </c>
      <c r="N12" s="5"/>
      <c r="O12" s="5"/>
      <c r="P12" s="17">
        <v>72000</v>
      </c>
      <c r="Q12" s="5"/>
      <c r="R12" s="5"/>
      <c r="S12" s="5"/>
      <c r="T12" s="5">
        <f t="shared" si="11"/>
        <v>477000</v>
      </c>
      <c r="U12" s="7">
        <f>K12-T12</f>
        <v>4023000</v>
      </c>
      <c r="V12" s="7"/>
      <c r="W12" s="44"/>
      <c r="X12" s="7">
        <f t="shared" si="4"/>
        <v>4023000</v>
      </c>
    </row>
    <row r="13" spans="1:24" x14ac:dyDescent="0.25">
      <c r="A13" s="90"/>
      <c r="B13" s="4">
        <v>10</v>
      </c>
      <c r="C13" s="11" t="s">
        <v>36</v>
      </c>
      <c r="D13" s="6" t="s">
        <v>27</v>
      </c>
      <c r="E13" s="5">
        <v>5400000</v>
      </c>
      <c r="F13" s="5">
        <v>30</v>
      </c>
      <c r="G13" s="5">
        <f>+E13/30*F13</f>
        <v>5400000</v>
      </c>
      <c r="H13" s="5"/>
      <c r="I13" s="5"/>
      <c r="J13" s="5"/>
      <c r="K13" s="5">
        <f t="shared" si="0"/>
        <v>5400000</v>
      </c>
      <c r="L13" s="5">
        <f>+G13*4%</f>
        <v>216000</v>
      </c>
      <c r="M13" s="5">
        <f>+G13*5%</f>
        <v>270000</v>
      </c>
      <c r="N13" s="5"/>
      <c r="O13" s="5"/>
      <c r="P13" s="5">
        <v>6248</v>
      </c>
      <c r="Q13" s="5"/>
      <c r="R13" s="5"/>
      <c r="S13" s="5"/>
      <c r="T13" s="5">
        <f t="shared" si="2"/>
        <v>492248</v>
      </c>
      <c r="U13" s="7">
        <f t="shared" ref="U13:U20" si="12">+K13-T13</f>
        <v>4907752</v>
      </c>
      <c r="V13" s="7"/>
      <c r="W13" s="44"/>
      <c r="X13" s="7">
        <f t="shared" si="4"/>
        <v>4907752</v>
      </c>
    </row>
    <row r="14" spans="1:24" x14ac:dyDescent="0.25">
      <c r="A14" s="90"/>
      <c r="B14" s="4">
        <v>11</v>
      </c>
      <c r="C14" s="3" t="s">
        <v>37</v>
      </c>
      <c r="D14" s="4" t="s">
        <v>27</v>
      </c>
      <c r="E14" s="5">
        <v>4500000</v>
      </c>
      <c r="F14" s="5">
        <v>30</v>
      </c>
      <c r="G14" s="5">
        <f t="shared" ref="G14:G20" si="13">+E14/30*F14</f>
        <v>4500000</v>
      </c>
      <c r="H14" s="5"/>
      <c r="I14" s="5"/>
      <c r="J14" s="5"/>
      <c r="K14" s="5">
        <f t="shared" si="0"/>
        <v>4500000</v>
      </c>
      <c r="L14" s="5">
        <v>180000</v>
      </c>
      <c r="M14" s="5">
        <v>225000</v>
      </c>
      <c r="N14" s="5"/>
      <c r="O14" s="5"/>
      <c r="P14" s="5">
        <v>3000</v>
      </c>
      <c r="Q14" s="5"/>
      <c r="R14" s="5"/>
      <c r="S14" s="5"/>
      <c r="T14" s="5">
        <f t="shared" si="2"/>
        <v>408000</v>
      </c>
      <c r="U14" s="7">
        <f t="shared" si="12"/>
        <v>4092000</v>
      </c>
      <c r="V14" s="7"/>
      <c r="W14" s="44"/>
      <c r="X14" s="7">
        <f t="shared" si="4"/>
        <v>4092000</v>
      </c>
    </row>
    <row r="15" spans="1:24" x14ac:dyDescent="0.25">
      <c r="A15" s="90"/>
      <c r="B15" s="4">
        <v>12</v>
      </c>
      <c r="C15" s="3" t="s">
        <v>38</v>
      </c>
      <c r="D15" s="4" t="s">
        <v>27</v>
      </c>
      <c r="E15" s="5">
        <v>4200000</v>
      </c>
      <c r="F15" s="5">
        <v>30</v>
      </c>
      <c r="G15" s="5">
        <f t="shared" si="13"/>
        <v>4200000</v>
      </c>
      <c r="H15" s="5"/>
      <c r="I15" s="5"/>
      <c r="J15" s="5"/>
      <c r="K15" s="5">
        <f t="shared" ref="K15:K17" si="14">SUM(G15:I15)+J15</f>
        <v>4200000</v>
      </c>
      <c r="L15" s="5">
        <v>168000</v>
      </c>
      <c r="M15" s="5">
        <v>210000</v>
      </c>
      <c r="N15" s="5"/>
      <c r="O15" s="5"/>
      <c r="P15" s="5">
        <v>32000</v>
      </c>
      <c r="Q15" s="5"/>
      <c r="R15" s="5"/>
      <c r="S15" s="5"/>
      <c r="T15" s="5">
        <f t="shared" ref="T15:T17" si="15">SUM(L15:S15)</f>
        <v>410000</v>
      </c>
      <c r="U15" s="7">
        <f t="shared" si="12"/>
        <v>3790000</v>
      </c>
      <c r="V15" s="7"/>
      <c r="W15" s="44"/>
      <c r="X15" s="7">
        <f t="shared" si="4"/>
        <v>3790000</v>
      </c>
    </row>
    <row r="16" spans="1:24" x14ac:dyDescent="0.25">
      <c r="A16" s="90"/>
      <c r="B16" s="4">
        <v>13</v>
      </c>
      <c r="C16" s="3" t="s">
        <v>39</v>
      </c>
      <c r="D16" s="4" t="s">
        <v>35</v>
      </c>
      <c r="E16" s="5">
        <v>4000000</v>
      </c>
      <c r="F16" s="5">
        <v>30</v>
      </c>
      <c r="G16" s="5">
        <f t="shared" si="13"/>
        <v>4000000.0000000005</v>
      </c>
      <c r="H16" s="5"/>
      <c r="I16" s="5"/>
      <c r="J16" s="5"/>
      <c r="K16" s="5">
        <f t="shared" si="14"/>
        <v>4000000.0000000005</v>
      </c>
      <c r="L16" s="5">
        <v>160000</v>
      </c>
      <c r="M16" s="5">
        <v>200000</v>
      </c>
      <c r="N16" s="5"/>
      <c r="O16" s="5"/>
      <c r="P16" s="5">
        <v>4500</v>
      </c>
      <c r="Q16" s="5"/>
      <c r="R16" s="5"/>
      <c r="S16" s="5"/>
      <c r="T16" s="5">
        <f t="shared" si="15"/>
        <v>364500</v>
      </c>
      <c r="U16" s="7">
        <f t="shared" si="12"/>
        <v>3635500.0000000005</v>
      </c>
      <c r="V16" s="7"/>
      <c r="W16" s="44"/>
      <c r="X16" s="7">
        <f t="shared" si="4"/>
        <v>3635500.0000000005</v>
      </c>
    </row>
    <row r="17" spans="1:24" x14ac:dyDescent="0.25">
      <c r="A17" s="90"/>
      <c r="B17" s="4">
        <v>14</v>
      </c>
      <c r="C17" s="3" t="s">
        <v>40</v>
      </c>
      <c r="D17" s="4" t="s">
        <v>35</v>
      </c>
      <c r="E17" s="5">
        <v>4500000</v>
      </c>
      <c r="F17" s="5">
        <v>30</v>
      </c>
      <c r="G17" s="5">
        <f t="shared" si="13"/>
        <v>4500000</v>
      </c>
      <c r="H17" s="5"/>
      <c r="I17" s="5"/>
      <c r="J17" s="5"/>
      <c r="K17" s="5">
        <f t="shared" si="14"/>
        <v>4500000</v>
      </c>
      <c r="L17" s="5">
        <f>+G17*4%</f>
        <v>180000</v>
      </c>
      <c r="M17" s="5">
        <f>+G17*5%</f>
        <v>225000</v>
      </c>
      <c r="N17" s="5"/>
      <c r="O17" s="5"/>
      <c r="P17" s="5">
        <v>72000</v>
      </c>
      <c r="Q17" s="5"/>
      <c r="R17" s="5"/>
      <c r="S17" s="5"/>
      <c r="T17" s="5">
        <f t="shared" si="15"/>
        <v>477000</v>
      </c>
      <c r="U17" s="7">
        <f t="shared" si="12"/>
        <v>4023000</v>
      </c>
      <c r="V17" s="7"/>
      <c r="W17" s="44"/>
      <c r="X17" s="7">
        <f t="shared" si="4"/>
        <v>4023000</v>
      </c>
    </row>
    <row r="18" spans="1:24" x14ac:dyDescent="0.25">
      <c r="A18" s="90"/>
      <c r="B18" s="4">
        <v>15</v>
      </c>
      <c r="C18" s="11" t="s">
        <v>41</v>
      </c>
      <c r="D18" s="6" t="s">
        <v>27</v>
      </c>
      <c r="E18" s="5">
        <v>5500000</v>
      </c>
      <c r="F18" s="5">
        <v>30</v>
      </c>
      <c r="G18" s="5">
        <f t="shared" si="13"/>
        <v>5500000</v>
      </c>
      <c r="H18" s="5"/>
      <c r="I18" s="5">
        <v>450000</v>
      </c>
      <c r="J18" s="5"/>
      <c r="K18" s="5">
        <f t="shared" si="0"/>
        <v>5950000</v>
      </c>
      <c r="L18" s="5">
        <f>+G18*4%</f>
        <v>220000</v>
      </c>
      <c r="M18" s="5">
        <f>+G18*5%</f>
        <v>275000</v>
      </c>
      <c r="N18" s="5"/>
      <c r="O18" s="5"/>
      <c r="P18" s="17">
        <v>301042</v>
      </c>
      <c r="Q18" s="5">
        <v>400000</v>
      </c>
      <c r="R18" s="5"/>
      <c r="S18" s="5"/>
      <c r="T18" s="5">
        <f t="shared" si="2"/>
        <v>1196042</v>
      </c>
      <c r="U18" s="7">
        <f t="shared" si="12"/>
        <v>4753958</v>
      </c>
      <c r="V18" s="7"/>
      <c r="W18" s="44"/>
      <c r="X18" s="7">
        <f t="shared" si="4"/>
        <v>4753958</v>
      </c>
    </row>
    <row r="19" spans="1:24" x14ac:dyDescent="0.25">
      <c r="A19" s="90"/>
      <c r="B19" s="4">
        <v>16</v>
      </c>
      <c r="C19" s="11" t="s">
        <v>143</v>
      </c>
      <c r="D19" s="6" t="s">
        <v>27</v>
      </c>
      <c r="E19" s="5">
        <v>5000000</v>
      </c>
      <c r="F19" s="5">
        <v>22</v>
      </c>
      <c r="G19" s="5">
        <f t="shared" si="13"/>
        <v>3666666.6666666665</v>
      </c>
      <c r="H19" s="5"/>
      <c r="I19" s="5"/>
      <c r="J19" s="5"/>
      <c r="K19" s="5">
        <f t="shared" ref="K19:K20" si="16">SUM(G19:I19)+J19</f>
        <v>3666666.6666666665</v>
      </c>
      <c r="L19" s="5">
        <f>+G19*4%</f>
        <v>146666.66666666666</v>
      </c>
      <c r="M19" s="5">
        <f>+G19*5%</f>
        <v>183333.33333333334</v>
      </c>
      <c r="N19" s="5"/>
      <c r="O19" s="5"/>
      <c r="P19" s="17">
        <v>75000</v>
      </c>
      <c r="Q19" s="5"/>
      <c r="R19" s="5"/>
      <c r="S19" s="5"/>
      <c r="T19" s="5">
        <f t="shared" ref="T19:T20" si="17">SUM(L19:S19)</f>
        <v>405000</v>
      </c>
      <c r="U19" s="7">
        <f t="shared" si="12"/>
        <v>3261666.6666666665</v>
      </c>
      <c r="V19" s="7"/>
      <c r="W19" s="44"/>
      <c r="X19" s="7">
        <f t="shared" si="4"/>
        <v>3261666.6666666665</v>
      </c>
    </row>
    <row r="20" spans="1:24" x14ac:dyDescent="0.25">
      <c r="A20" s="90"/>
      <c r="B20" s="4">
        <v>17</v>
      </c>
      <c r="C20" s="11" t="s">
        <v>42</v>
      </c>
      <c r="D20" s="6" t="s">
        <v>27</v>
      </c>
      <c r="E20" s="5">
        <v>3500000</v>
      </c>
      <c r="F20" s="5">
        <v>30</v>
      </c>
      <c r="G20" s="5">
        <f t="shared" si="13"/>
        <v>3500000</v>
      </c>
      <c r="H20" s="5"/>
      <c r="I20" s="5"/>
      <c r="J20" s="5"/>
      <c r="K20" s="5">
        <f t="shared" si="16"/>
        <v>3500000</v>
      </c>
      <c r="L20" s="5">
        <f t="shared" ref="L20" si="18">+G20*4%</f>
        <v>140000</v>
      </c>
      <c r="M20" s="5">
        <f t="shared" ref="M20" si="19">+G20*5%</f>
        <v>175000</v>
      </c>
      <c r="N20" s="5"/>
      <c r="O20" s="5"/>
      <c r="P20" s="17"/>
      <c r="Q20" s="5"/>
      <c r="R20" s="5"/>
      <c r="S20" s="5"/>
      <c r="T20" s="5">
        <f t="shared" si="17"/>
        <v>315000</v>
      </c>
      <c r="U20" s="7">
        <f t="shared" si="12"/>
        <v>3185000</v>
      </c>
      <c r="V20" s="7"/>
      <c r="W20" s="44"/>
      <c r="X20" s="7">
        <f t="shared" si="4"/>
        <v>3185000</v>
      </c>
    </row>
    <row r="21" spans="1:24" ht="24" x14ac:dyDescent="0.25">
      <c r="A21" s="90"/>
      <c r="B21" s="4">
        <v>18</v>
      </c>
      <c r="C21" s="11" t="s">
        <v>43</v>
      </c>
      <c r="D21" s="6" t="s">
        <v>27</v>
      </c>
      <c r="E21" s="5">
        <v>5000000</v>
      </c>
      <c r="F21" s="5">
        <v>30</v>
      </c>
      <c r="G21" s="5">
        <f>+E21-J21</f>
        <v>5000000</v>
      </c>
      <c r="H21" s="5"/>
      <c r="I21" s="5">
        <v>990000</v>
      </c>
      <c r="J21" s="5"/>
      <c r="K21" s="5">
        <f t="shared" si="0"/>
        <v>5990000</v>
      </c>
      <c r="L21" s="5">
        <v>200000</v>
      </c>
      <c r="M21" s="5">
        <v>250000</v>
      </c>
      <c r="N21" s="5"/>
      <c r="O21" s="5"/>
      <c r="P21" s="17">
        <v>98752</v>
      </c>
      <c r="Q21" s="5"/>
      <c r="R21" s="5"/>
      <c r="S21" s="5"/>
      <c r="T21" s="5">
        <f t="shared" si="2"/>
        <v>548752</v>
      </c>
      <c r="U21" s="7">
        <f>K21-T21</f>
        <v>5441248</v>
      </c>
      <c r="V21" s="7"/>
      <c r="W21" s="44"/>
      <c r="X21" s="7">
        <f t="shared" si="4"/>
        <v>5441248</v>
      </c>
    </row>
    <row r="22" spans="1:24" x14ac:dyDescent="0.25">
      <c r="A22" s="90"/>
      <c r="B22" s="4">
        <v>19</v>
      </c>
      <c r="C22" s="11" t="s">
        <v>44</v>
      </c>
      <c r="D22" s="6" t="s">
        <v>27</v>
      </c>
      <c r="E22" s="5">
        <v>6600000</v>
      </c>
      <c r="F22" s="5">
        <v>30</v>
      </c>
      <c r="G22" s="5">
        <f t="shared" ref="G22:G31" si="20">E22/30*F22</f>
        <v>6600000</v>
      </c>
      <c r="H22" s="5"/>
      <c r="I22" s="5"/>
      <c r="J22" s="5"/>
      <c r="K22" s="5">
        <f t="shared" si="0"/>
        <v>6600000</v>
      </c>
      <c r="L22" s="5">
        <f>+G22*4%</f>
        <v>264000</v>
      </c>
      <c r="M22" s="5">
        <f>+G22*5%</f>
        <v>330000</v>
      </c>
      <c r="N22" s="5"/>
      <c r="O22" s="5"/>
      <c r="P22" s="17">
        <v>288000</v>
      </c>
      <c r="Q22" s="5"/>
      <c r="R22" s="5"/>
      <c r="S22" s="5"/>
      <c r="T22" s="5">
        <f t="shared" si="2"/>
        <v>882000</v>
      </c>
      <c r="U22" s="7">
        <f>K22-T22</f>
        <v>5718000</v>
      </c>
      <c r="V22" s="7"/>
      <c r="W22" s="44"/>
      <c r="X22" s="7">
        <f t="shared" si="4"/>
        <v>5718000</v>
      </c>
    </row>
    <row r="23" spans="1:24" x14ac:dyDescent="0.25">
      <c r="A23" s="90"/>
      <c r="B23" s="4">
        <v>20</v>
      </c>
      <c r="C23" s="11" t="s">
        <v>45</v>
      </c>
      <c r="D23" s="6" t="s">
        <v>27</v>
      </c>
      <c r="E23" s="5">
        <v>6900000</v>
      </c>
      <c r="F23" s="5">
        <v>30</v>
      </c>
      <c r="G23" s="5">
        <f t="shared" si="20"/>
        <v>6900000</v>
      </c>
      <c r="H23" s="5"/>
      <c r="I23" s="5">
        <v>1400000</v>
      </c>
      <c r="J23" s="5"/>
      <c r="K23" s="5">
        <f t="shared" ref="K23" si="21">SUM(G23:I23)+J23</f>
        <v>8300000</v>
      </c>
      <c r="L23" s="5">
        <f t="shared" ref="L23" si="22">+G23*4%</f>
        <v>276000</v>
      </c>
      <c r="M23" s="5">
        <f t="shared" ref="M23" si="23">+G23*5%</f>
        <v>345000</v>
      </c>
      <c r="N23" s="5"/>
      <c r="O23" s="5"/>
      <c r="P23" s="17">
        <v>113000</v>
      </c>
      <c r="Q23" s="5">
        <v>1300000</v>
      </c>
      <c r="R23" s="5"/>
      <c r="S23" s="5"/>
      <c r="T23" s="5">
        <f t="shared" ref="T23:T24" si="24">SUM(L23:S23)</f>
        <v>2034000</v>
      </c>
      <c r="U23" s="7">
        <f>K23-T23</f>
        <v>6266000</v>
      </c>
      <c r="V23" s="7"/>
      <c r="W23" s="44"/>
      <c r="X23" s="7">
        <f t="shared" si="4"/>
        <v>6266000</v>
      </c>
    </row>
    <row r="24" spans="1:24" x14ac:dyDescent="0.25">
      <c r="A24" s="90"/>
      <c r="B24" s="4">
        <v>21</v>
      </c>
      <c r="C24" s="11" t="s">
        <v>46</v>
      </c>
      <c r="D24" s="6" t="s">
        <v>27</v>
      </c>
      <c r="E24" s="5">
        <v>3500000</v>
      </c>
      <c r="F24" s="5">
        <v>30</v>
      </c>
      <c r="G24" s="5">
        <f t="shared" ref="G24" si="25">+E24/30*F24</f>
        <v>3500000</v>
      </c>
      <c r="H24" s="5"/>
      <c r="I24" s="5"/>
      <c r="J24" s="5"/>
      <c r="K24" s="5">
        <f t="shared" ref="K24" si="26">SUM(G24:I24)+J24</f>
        <v>3500000</v>
      </c>
      <c r="L24" s="5">
        <v>140000</v>
      </c>
      <c r="M24" s="5">
        <v>175000</v>
      </c>
      <c r="N24" s="5"/>
      <c r="O24" s="5"/>
      <c r="P24" s="5"/>
      <c r="Q24" s="5"/>
      <c r="R24" s="5"/>
      <c r="S24" s="5"/>
      <c r="T24" s="5">
        <f t="shared" si="24"/>
        <v>315000</v>
      </c>
      <c r="U24" s="7">
        <f t="shared" ref="U24" si="27">+K24-T24</f>
        <v>3185000</v>
      </c>
      <c r="V24" s="7"/>
      <c r="W24" s="44"/>
      <c r="X24" s="7">
        <f t="shared" si="4"/>
        <v>3185000</v>
      </c>
    </row>
    <row r="25" spans="1:24" x14ac:dyDescent="0.25">
      <c r="A25" s="90"/>
      <c r="B25" s="4">
        <v>22</v>
      </c>
      <c r="C25" s="11" t="s">
        <v>47</v>
      </c>
      <c r="D25" s="6" t="s">
        <v>27</v>
      </c>
      <c r="E25" s="5">
        <v>5000000</v>
      </c>
      <c r="F25" s="5">
        <v>30</v>
      </c>
      <c r="G25" s="5">
        <f t="shared" si="20"/>
        <v>5000000</v>
      </c>
      <c r="H25" s="5"/>
      <c r="I25" s="5">
        <v>1621317</v>
      </c>
      <c r="J25" s="5"/>
      <c r="K25" s="5">
        <f t="shared" si="0"/>
        <v>6621317</v>
      </c>
      <c r="L25" s="5">
        <f>+G25*4%</f>
        <v>200000</v>
      </c>
      <c r="M25" s="5">
        <f t="shared" si="9"/>
        <v>250000</v>
      </c>
      <c r="N25" s="5"/>
      <c r="O25" s="5"/>
      <c r="P25" s="17">
        <v>50000</v>
      </c>
      <c r="Q25" s="5">
        <v>800000</v>
      </c>
      <c r="R25" s="5"/>
      <c r="S25" s="5">
        <f>884747</f>
        <v>884747</v>
      </c>
      <c r="T25" s="5">
        <f t="shared" si="2"/>
        <v>2184747</v>
      </c>
      <c r="U25" s="7">
        <f>+K25-T25</f>
        <v>4436570</v>
      </c>
      <c r="V25" s="7"/>
      <c r="W25" s="44"/>
      <c r="X25" s="7">
        <f t="shared" si="4"/>
        <v>4436570</v>
      </c>
    </row>
    <row r="26" spans="1:24" x14ac:dyDescent="0.25">
      <c r="A26" s="90"/>
      <c r="B26" s="4">
        <v>23</v>
      </c>
      <c r="C26" s="11" t="s">
        <v>48</v>
      </c>
      <c r="D26" s="6" t="s">
        <v>27</v>
      </c>
      <c r="E26" s="5">
        <v>4500000</v>
      </c>
      <c r="F26" s="5">
        <v>30</v>
      </c>
      <c r="G26" s="5">
        <f t="shared" si="20"/>
        <v>4500000</v>
      </c>
      <c r="H26" s="5"/>
      <c r="I26" s="5"/>
      <c r="J26" s="5"/>
      <c r="K26" s="5">
        <f t="shared" si="0"/>
        <v>4500000</v>
      </c>
      <c r="L26" s="5">
        <f t="shared" si="1"/>
        <v>180000</v>
      </c>
      <c r="M26" s="5">
        <f t="shared" si="9"/>
        <v>225000</v>
      </c>
      <c r="N26" s="5"/>
      <c r="O26" s="5"/>
      <c r="P26" s="17">
        <v>31000</v>
      </c>
      <c r="Q26" s="5"/>
      <c r="R26" s="5"/>
      <c r="S26" s="5"/>
      <c r="T26" s="5">
        <f t="shared" si="2"/>
        <v>436000</v>
      </c>
      <c r="U26" s="7">
        <f>+K26-T26</f>
        <v>4064000</v>
      </c>
      <c r="V26" s="7"/>
      <c r="W26" s="44"/>
      <c r="X26" s="7">
        <f t="shared" si="4"/>
        <v>4064000</v>
      </c>
    </row>
    <row r="27" spans="1:24" x14ac:dyDescent="0.25">
      <c r="A27" s="90"/>
      <c r="B27" s="4">
        <v>24</v>
      </c>
      <c r="C27" s="11" t="s">
        <v>49</v>
      </c>
      <c r="D27" s="6" t="s">
        <v>27</v>
      </c>
      <c r="E27" s="5">
        <v>5000000</v>
      </c>
      <c r="F27" s="5">
        <v>30</v>
      </c>
      <c r="G27" s="5">
        <f t="shared" si="20"/>
        <v>5000000</v>
      </c>
      <c r="H27" s="5"/>
      <c r="I27" s="5"/>
      <c r="J27" s="5"/>
      <c r="K27" s="5">
        <f t="shared" ref="K27:K28" si="28">SUM(G27:I27)+J27</f>
        <v>5000000</v>
      </c>
      <c r="L27" s="5">
        <f t="shared" si="1"/>
        <v>200000</v>
      </c>
      <c r="M27" s="5">
        <f>+E27*5%</f>
        <v>250000</v>
      </c>
      <c r="N27" s="5"/>
      <c r="O27" s="5"/>
      <c r="P27" s="17">
        <v>140000</v>
      </c>
      <c r="Q27" s="5"/>
      <c r="R27" s="5"/>
      <c r="S27" s="5"/>
      <c r="T27" s="5">
        <f t="shared" ref="T27:T28" si="29">SUM(L27:S27)</f>
        <v>590000</v>
      </c>
      <c r="U27" s="7">
        <f>+K27-T27</f>
        <v>4410000</v>
      </c>
      <c r="V27" s="7"/>
      <c r="W27" s="44"/>
      <c r="X27" s="7">
        <f t="shared" si="4"/>
        <v>4410000</v>
      </c>
    </row>
    <row r="28" spans="1:24" x14ac:dyDescent="0.25">
      <c r="A28" s="90"/>
      <c r="B28" s="4">
        <v>25</v>
      </c>
      <c r="C28" s="11" t="s">
        <v>50</v>
      </c>
      <c r="D28" s="6" t="s">
        <v>27</v>
      </c>
      <c r="E28" s="5">
        <v>4500000</v>
      </c>
      <c r="F28" s="5">
        <v>30</v>
      </c>
      <c r="G28" s="5">
        <f t="shared" si="20"/>
        <v>4500000</v>
      </c>
      <c r="H28" s="5"/>
      <c r="I28" s="5"/>
      <c r="J28" s="5"/>
      <c r="K28" s="5">
        <f t="shared" si="28"/>
        <v>4500000</v>
      </c>
      <c r="L28" s="5">
        <f>+G28*4%</f>
        <v>180000</v>
      </c>
      <c r="M28" s="5">
        <f>+G28*5%</f>
        <v>225000</v>
      </c>
      <c r="N28" s="5"/>
      <c r="O28" s="5"/>
      <c r="P28" s="17">
        <v>72000</v>
      </c>
      <c r="Q28" s="5"/>
      <c r="R28" s="5"/>
      <c r="S28" s="5"/>
      <c r="T28" s="5">
        <f t="shared" si="29"/>
        <v>477000</v>
      </c>
      <c r="U28" s="7">
        <f>+K28-T28</f>
        <v>4023000</v>
      </c>
      <c r="V28" s="7"/>
      <c r="W28" s="44"/>
      <c r="X28" s="7">
        <f t="shared" si="4"/>
        <v>4023000</v>
      </c>
    </row>
    <row r="29" spans="1:24" x14ac:dyDescent="0.25">
      <c r="A29" s="90"/>
      <c r="B29" s="4">
        <v>26</v>
      </c>
      <c r="C29" s="11" t="s">
        <v>51</v>
      </c>
      <c r="D29" s="6" t="s">
        <v>27</v>
      </c>
      <c r="E29" s="5">
        <v>6000000</v>
      </c>
      <c r="F29" s="5">
        <v>30</v>
      </c>
      <c r="G29" s="5">
        <f t="shared" si="20"/>
        <v>6000000</v>
      </c>
      <c r="H29" s="5"/>
      <c r="I29" s="5"/>
      <c r="J29" s="5"/>
      <c r="K29" s="5">
        <f t="shared" si="0"/>
        <v>6000000</v>
      </c>
      <c r="L29" s="5">
        <f>+E29*4%</f>
        <v>240000</v>
      </c>
      <c r="M29" s="5">
        <f>E29*5%</f>
        <v>300000</v>
      </c>
      <c r="N29" s="5"/>
      <c r="O29" s="5"/>
      <c r="P29" s="17">
        <v>79000</v>
      </c>
      <c r="Q29" s="5"/>
      <c r="R29" s="5"/>
      <c r="S29" s="5"/>
      <c r="T29" s="5">
        <f t="shared" si="2"/>
        <v>619000</v>
      </c>
      <c r="U29" s="7">
        <f>K29-T29</f>
        <v>5381000</v>
      </c>
      <c r="V29" s="7"/>
      <c r="W29" s="44"/>
      <c r="X29" s="7">
        <f t="shared" si="4"/>
        <v>5381000</v>
      </c>
    </row>
    <row r="30" spans="1:24" x14ac:dyDescent="0.25">
      <c r="A30" s="90"/>
      <c r="B30" s="4">
        <v>27</v>
      </c>
      <c r="C30" s="11" t="s">
        <v>52</v>
      </c>
      <c r="D30" s="6" t="s">
        <v>27</v>
      </c>
      <c r="E30" s="5">
        <v>4500000</v>
      </c>
      <c r="F30" s="5">
        <v>30</v>
      </c>
      <c r="G30" s="5">
        <f t="shared" si="20"/>
        <v>4500000</v>
      </c>
      <c r="H30" s="5"/>
      <c r="I30" s="5">
        <v>300000</v>
      </c>
      <c r="J30" s="5"/>
      <c r="K30" s="5">
        <f t="shared" si="0"/>
        <v>4800000</v>
      </c>
      <c r="L30" s="5">
        <v>180000</v>
      </c>
      <c r="M30" s="5">
        <v>225000</v>
      </c>
      <c r="N30" s="5"/>
      <c r="O30" s="5"/>
      <c r="P30" s="17">
        <v>99000</v>
      </c>
      <c r="Q30" s="5"/>
      <c r="R30" s="5"/>
      <c r="S30" s="5"/>
      <c r="T30" s="5">
        <f t="shared" si="2"/>
        <v>504000</v>
      </c>
      <c r="U30" s="7">
        <f>K30-T30</f>
        <v>4296000</v>
      </c>
      <c r="V30" s="7"/>
      <c r="W30" s="44"/>
      <c r="X30" s="7">
        <f t="shared" si="4"/>
        <v>4296000</v>
      </c>
    </row>
    <row r="31" spans="1:24" x14ac:dyDescent="0.25">
      <c r="A31" s="90"/>
      <c r="B31" s="4">
        <v>28</v>
      </c>
      <c r="C31" s="11" t="s">
        <v>53</v>
      </c>
      <c r="D31" s="6" t="s">
        <v>27</v>
      </c>
      <c r="E31" s="5">
        <v>3500000</v>
      </c>
      <c r="F31" s="5">
        <v>30</v>
      </c>
      <c r="G31" s="5">
        <f t="shared" si="20"/>
        <v>3500000</v>
      </c>
      <c r="H31" s="5"/>
      <c r="I31" s="5"/>
      <c r="J31" s="5"/>
      <c r="K31" s="5">
        <f>SUM(G31:I31)+J31</f>
        <v>3500000</v>
      </c>
      <c r="L31" s="5">
        <v>140000</v>
      </c>
      <c r="M31" s="5">
        <v>175000</v>
      </c>
      <c r="N31" s="5"/>
      <c r="O31" s="5"/>
      <c r="P31" s="17">
        <v>0</v>
      </c>
      <c r="Q31" s="5"/>
      <c r="R31" s="5"/>
      <c r="S31" s="5"/>
      <c r="T31" s="5">
        <f t="shared" ref="T31" si="30">SUM(L31:S31)</f>
        <v>315000</v>
      </c>
      <c r="U31" s="7">
        <f>K31-T31</f>
        <v>3185000</v>
      </c>
      <c r="V31" s="7"/>
      <c r="W31" s="44"/>
      <c r="X31" s="7">
        <f t="shared" si="4"/>
        <v>3185000</v>
      </c>
    </row>
    <row r="32" spans="1:24" x14ac:dyDescent="0.25">
      <c r="A32" s="90"/>
      <c r="B32" s="4">
        <v>29</v>
      </c>
      <c r="C32" s="11" t="s">
        <v>54</v>
      </c>
      <c r="D32" s="6" t="s">
        <v>27</v>
      </c>
      <c r="E32" s="5">
        <v>4800000</v>
      </c>
      <c r="F32" s="5">
        <v>30</v>
      </c>
      <c r="G32" s="5">
        <f t="shared" ref="G32:G57" si="31">+E32/30*F32</f>
        <v>4800000</v>
      </c>
      <c r="H32" s="5"/>
      <c r="I32" s="5"/>
      <c r="J32" s="5"/>
      <c r="K32" s="5">
        <f t="shared" si="0"/>
        <v>4800000</v>
      </c>
      <c r="L32" s="5">
        <f>+G32*4%</f>
        <v>192000</v>
      </c>
      <c r="M32" s="5">
        <f>+G32*5%</f>
        <v>240000</v>
      </c>
      <c r="N32" s="5"/>
      <c r="O32" s="5"/>
      <c r="P32" s="5">
        <v>0</v>
      </c>
      <c r="Q32" s="5">
        <v>1300000</v>
      </c>
      <c r="R32" s="5"/>
      <c r="S32" s="5">
        <v>209579</v>
      </c>
      <c r="T32" s="5">
        <f t="shared" si="2"/>
        <v>1941579</v>
      </c>
      <c r="U32" s="7">
        <f>K32-T32</f>
        <v>2858421</v>
      </c>
      <c r="V32" s="7"/>
      <c r="W32" s="44"/>
      <c r="X32" s="7">
        <f t="shared" si="4"/>
        <v>2858421</v>
      </c>
    </row>
    <row r="33" spans="1:26" x14ac:dyDescent="0.25">
      <c r="A33" s="90"/>
      <c r="B33" s="4">
        <v>30</v>
      </c>
      <c r="C33" s="11" t="s">
        <v>55</v>
      </c>
      <c r="D33" s="6" t="s">
        <v>27</v>
      </c>
      <c r="E33" s="5">
        <v>4280000</v>
      </c>
      <c r="F33" s="5">
        <v>30</v>
      </c>
      <c r="G33" s="5">
        <f>E33/30*F33</f>
        <v>4280000</v>
      </c>
      <c r="H33" s="5"/>
      <c r="I33" s="5"/>
      <c r="J33" s="5"/>
      <c r="K33" s="5">
        <f t="shared" si="0"/>
        <v>4280000</v>
      </c>
      <c r="L33" s="5">
        <f>+G33*4%</f>
        <v>171200</v>
      </c>
      <c r="M33" s="5">
        <f>+G33*5%</f>
        <v>214000</v>
      </c>
      <c r="N33" s="5"/>
      <c r="O33" s="5"/>
      <c r="P33" s="17">
        <v>31064</v>
      </c>
      <c r="Q33" s="5"/>
      <c r="R33" s="5"/>
      <c r="S33" s="5"/>
      <c r="T33" s="5">
        <f t="shared" si="2"/>
        <v>416264</v>
      </c>
      <c r="U33" s="7">
        <f>K33-T33</f>
        <v>3863736</v>
      </c>
      <c r="V33" s="7"/>
      <c r="W33" s="44"/>
      <c r="X33" s="7">
        <f t="shared" si="4"/>
        <v>3863736</v>
      </c>
    </row>
    <row r="34" spans="1:26" x14ac:dyDescent="0.25">
      <c r="A34" s="90"/>
      <c r="B34" s="4">
        <v>31</v>
      </c>
      <c r="C34" s="11" t="s">
        <v>56</v>
      </c>
      <c r="D34" s="6" t="s">
        <v>27</v>
      </c>
      <c r="E34" s="5">
        <v>6000000</v>
      </c>
      <c r="F34" s="5">
        <v>21</v>
      </c>
      <c r="G34" s="5">
        <f t="shared" si="31"/>
        <v>4200000</v>
      </c>
      <c r="H34" s="5"/>
      <c r="I34" s="5"/>
      <c r="J34" s="5"/>
      <c r="K34" s="5">
        <f t="shared" si="0"/>
        <v>4200000</v>
      </c>
      <c r="L34" s="5">
        <f>+K34*4%</f>
        <v>168000</v>
      </c>
      <c r="M34" s="5">
        <f>+K34*5%</f>
        <v>210000</v>
      </c>
      <c r="N34" s="5"/>
      <c r="O34" s="5"/>
      <c r="P34" s="5">
        <v>173000</v>
      </c>
      <c r="Q34" s="5"/>
      <c r="R34" s="5">
        <v>122614</v>
      </c>
      <c r="S34" s="5"/>
      <c r="T34" s="5">
        <f t="shared" si="2"/>
        <v>673614</v>
      </c>
      <c r="U34" s="7">
        <f t="shared" ref="U34:U35" si="32">+K34-T34</f>
        <v>3526386</v>
      </c>
      <c r="V34" s="7"/>
      <c r="W34" s="44"/>
      <c r="X34" s="7">
        <f t="shared" si="4"/>
        <v>3526386</v>
      </c>
    </row>
    <row r="35" spans="1:26" x14ac:dyDescent="0.25">
      <c r="A35" s="90"/>
      <c r="B35" s="4">
        <v>32</v>
      </c>
      <c r="C35" s="11" t="s">
        <v>57</v>
      </c>
      <c r="D35" s="6" t="s">
        <v>27</v>
      </c>
      <c r="E35" s="5">
        <v>4500000</v>
      </c>
      <c r="F35" s="5">
        <v>30</v>
      </c>
      <c r="G35" s="5">
        <f t="shared" si="31"/>
        <v>4500000</v>
      </c>
      <c r="H35" s="5"/>
      <c r="I35" s="5">
        <v>500000</v>
      </c>
      <c r="J35" s="5"/>
      <c r="K35" s="5">
        <f t="shared" si="0"/>
        <v>5000000</v>
      </c>
      <c r="L35" s="5">
        <f t="shared" si="1"/>
        <v>180000</v>
      </c>
      <c r="M35" s="5">
        <f t="shared" si="9"/>
        <v>225000</v>
      </c>
      <c r="N35" s="5"/>
      <c r="O35" s="5"/>
      <c r="P35" s="5">
        <v>11000</v>
      </c>
      <c r="Q35" s="5"/>
      <c r="R35" s="5">
        <v>612500</v>
      </c>
      <c r="S35" s="5">
        <v>551399</v>
      </c>
      <c r="T35" s="5">
        <f t="shared" si="2"/>
        <v>1579899</v>
      </c>
      <c r="U35" s="7">
        <f t="shared" si="32"/>
        <v>3420101</v>
      </c>
      <c r="V35" s="7"/>
      <c r="W35" s="44"/>
      <c r="X35" s="7">
        <f t="shared" si="4"/>
        <v>3420101</v>
      </c>
    </row>
    <row r="36" spans="1:26" x14ac:dyDescent="0.25">
      <c r="A36" s="90"/>
      <c r="B36" s="4">
        <v>33</v>
      </c>
      <c r="C36" s="3" t="s">
        <v>58</v>
      </c>
      <c r="D36" s="4" t="s">
        <v>27</v>
      </c>
      <c r="E36" s="5">
        <v>4815000</v>
      </c>
      <c r="F36" s="5">
        <v>30</v>
      </c>
      <c r="G36" s="5">
        <f>+E36-J36</f>
        <v>4815000</v>
      </c>
      <c r="H36" s="5"/>
      <c r="I36" s="5"/>
      <c r="J36" s="5"/>
      <c r="K36" s="5">
        <f t="shared" si="0"/>
        <v>4815000</v>
      </c>
      <c r="L36" s="5">
        <f>+E36*4%</f>
        <v>192600</v>
      </c>
      <c r="M36" s="5">
        <f>+E36*5%</f>
        <v>240750</v>
      </c>
      <c r="N36" s="5"/>
      <c r="O36" s="5"/>
      <c r="P36" s="5">
        <v>34627</v>
      </c>
      <c r="Q36" s="5"/>
      <c r="R36" s="5"/>
      <c r="S36" s="5">
        <v>541379</v>
      </c>
      <c r="T36" s="5">
        <f t="shared" si="2"/>
        <v>1009356</v>
      </c>
      <c r="U36" s="7">
        <f>K36-T36</f>
        <v>3805644</v>
      </c>
      <c r="V36" s="7"/>
      <c r="W36" s="44"/>
      <c r="X36" s="7">
        <f t="shared" si="4"/>
        <v>3805644</v>
      </c>
    </row>
    <row r="37" spans="1:26" ht="24" x14ac:dyDescent="0.25">
      <c r="A37" s="90"/>
      <c r="B37" s="4">
        <v>34</v>
      </c>
      <c r="C37" s="11" t="s">
        <v>59</v>
      </c>
      <c r="D37" s="6" t="s">
        <v>27</v>
      </c>
      <c r="E37" s="5">
        <v>6000000</v>
      </c>
      <c r="F37" s="5">
        <v>30</v>
      </c>
      <c r="G37" s="5">
        <f>+E37/30*F37</f>
        <v>6000000</v>
      </c>
      <c r="H37" s="5"/>
      <c r="I37" s="5"/>
      <c r="J37" s="5"/>
      <c r="K37" s="5">
        <f t="shared" ref="K37:K85" si="33">SUM(G37:I37)+J37</f>
        <v>6000000</v>
      </c>
      <c r="L37" s="5">
        <f t="shared" si="1"/>
        <v>240000</v>
      </c>
      <c r="M37" s="5">
        <f>+G37*5%</f>
        <v>300000</v>
      </c>
      <c r="N37" s="5"/>
      <c r="O37" s="5"/>
      <c r="P37" s="5">
        <v>156000</v>
      </c>
      <c r="Q37" s="5"/>
      <c r="R37" s="5"/>
      <c r="S37" s="5"/>
      <c r="T37" s="5">
        <f t="shared" si="2"/>
        <v>696000</v>
      </c>
      <c r="U37" s="7">
        <f>+K37-T37</f>
        <v>5304000</v>
      </c>
      <c r="V37" s="7"/>
      <c r="W37" s="44"/>
      <c r="X37" s="7">
        <f t="shared" si="4"/>
        <v>5304000</v>
      </c>
    </row>
    <row r="38" spans="1:26" x14ac:dyDescent="0.25">
      <c r="A38" s="90"/>
      <c r="B38" s="4">
        <v>35</v>
      </c>
      <c r="C38" s="3" t="s">
        <v>60</v>
      </c>
      <c r="D38" s="4" t="s">
        <v>27</v>
      </c>
      <c r="E38" s="5">
        <v>6900000</v>
      </c>
      <c r="F38" s="5">
        <v>30</v>
      </c>
      <c r="G38" s="5">
        <f t="shared" si="31"/>
        <v>6900000</v>
      </c>
      <c r="H38" s="5"/>
      <c r="I38" s="5">
        <v>1500000</v>
      </c>
      <c r="J38" s="5"/>
      <c r="K38" s="5">
        <f t="shared" si="33"/>
        <v>8400000</v>
      </c>
      <c r="L38" s="5">
        <v>276000</v>
      </c>
      <c r="M38" s="5">
        <v>345000</v>
      </c>
      <c r="N38" s="5"/>
      <c r="O38" s="5"/>
      <c r="P38" s="5">
        <v>345000</v>
      </c>
      <c r="Q38" s="5"/>
      <c r="R38" s="5"/>
      <c r="S38" s="5"/>
      <c r="T38" s="5">
        <f t="shared" si="2"/>
        <v>966000</v>
      </c>
      <c r="U38" s="7">
        <f>K38-T38</f>
        <v>7434000</v>
      </c>
      <c r="V38" s="7"/>
      <c r="W38" s="44"/>
      <c r="X38" s="7">
        <f t="shared" si="4"/>
        <v>7434000</v>
      </c>
    </row>
    <row r="39" spans="1:26" x14ac:dyDescent="0.25">
      <c r="A39" s="90"/>
      <c r="B39" s="4">
        <v>36</v>
      </c>
      <c r="C39" s="3" t="s">
        <v>61</v>
      </c>
      <c r="D39" s="4" t="s">
        <v>27</v>
      </c>
      <c r="E39" s="5">
        <v>5000000</v>
      </c>
      <c r="F39" s="5">
        <v>30</v>
      </c>
      <c r="G39" s="5">
        <f t="shared" si="31"/>
        <v>5000000</v>
      </c>
      <c r="H39" s="5"/>
      <c r="I39" s="5"/>
      <c r="J39" s="5"/>
      <c r="K39" s="5">
        <f t="shared" ref="K39:K40" si="34">SUM(G39:I39)+J39</f>
        <v>5000000</v>
      </c>
      <c r="L39" s="5">
        <v>200000</v>
      </c>
      <c r="M39" s="5"/>
      <c r="N39" s="5"/>
      <c r="O39" s="5"/>
      <c r="P39" s="5">
        <v>175000</v>
      </c>
      <c r="Q39" s="5"/>
      <c r="R39" s="5"/>
      <c r="S39" s="5"/>
      <c r="T39" s="5">
        <f t="shared" ref="T39:T40" si="35">SUM(L39:S39)</f>
        <v>375000</v>
      </c>
      <c r="U39" s="7">
        <f t="shared" ref="U39:U40" si="36">K39-T39</f>
        <v>4625000</v>
      </c>
      <c r="V39" s="7"/>
      <c r="W39" s="44"/>
      <c r="X39" s="7">
        <f t="shared" si="4"/>
        <v>4625000</v>
      </c>
    </row>
    <row r="40" spans="1:26" x14ac:dyDescent="0.25">
      <c r="A40" s="90"/>
      <c r="B40" s="4">
        <v>37</v>
      </c>
      <c r="C40" s="3" t="s">
        <v>62</v>
      </c>
      <c r="D40" s="4" t="s">
        <v>27</v>
      </c>
      <c r="E40" s="5">
        <v>5500000</v>
      </c>
      <c r="F40" s="5">
        <v>30</v>
      </c>
      <c r="G40" s="5">
        <f t="shared" si="31"/>
        <v>5500000</v>
      </c>
      <c r="H40" s="5"/>
      <c r="I40" s="5">
        <v>500000</v>
      </c>
      <c r="J40" s="5"/>
      <c r="K40" s="5">
        <f t="shared" si="34"/>
        <v>6000000</v>
      </c>
      <c r="L40" s="5">
        <f>+G40*4%</f>
        <v>220000</v>
      </c>
      <c r="M40" s="5">
        <f>+G40*5%</f>
        <v>275000</v>
      </c>
      <c r="N40" s="5"/>
      <c r="O40" s="5"/>
      <c r="P40" s="5">
        <v>144000</v>
      </c>
      <c r="Q40" s="5"/>
      <c r="R40" s="5"/>
      <c r="S40" s="5"/>
      <c r="T40" s="5">
        <f t="shared" si="35"/>
        <v>639000</v>
      </c>
      <c r="U40" s="7">
        <f t="shared" si="36"/>
        <v>5361000</v>
      </c>
      <c r="V40" s="7"/>
      <c r="W40" s="44"/>
      <c r="X40" s="7">
        <f t="shared" si="4"/>
        <v>5361000</v>
      </c>
    </row>
    <row r="41" spans="1:26" x14ac:dyDescent="0.25">
      <c r="A41" s="90"/>
      <c r="B41" s="4">
        <v>38</v>
      </c>
      <c r="C41" s="11" t="s">
        <v>63</v>
      </c>
      <c r="D41" s="6" t="s">
        <v>27</v>
      </c>
      <c r="E41" s="5">
        <v>5350000</v>
      </c>
      <c r="F41" s="5">
        <v>30</v>
      </c>
      <c r="G41" s="5">
        <f t="shared" si="31"/>
        <v>5350000</v>
      </c>
      <c r="H41" s="5"/>
      <c r="I41" s="5"/>
      <c r="J41" s="5"/>
      <c r="K41" s="5">
        <f t="shared" si="33"/>
        <v>5350000</v>
      </c>
      <c r="L41" s="5">
        <f>+G41*4%</f>
        <v>214000</v>
      </c>
      <c r="M41" s="5">
        <f>+G41*5%</f>
        <v>267500</v>
      </c>
      <c r="N41" s="5"/>
      <c r="O41" s="5"/>
      <c r="P41" s="5">
        <v>121000</v>
      </c>
      <c r="Q41" s="5"/>
      <c r="R41" s="5"/>
      <c r="S41" s="5"/>
      <c r="T41" s="5">
        <f>SUM(L41:S41)</f>
        <v>602500</v>
      </c>
      <c r="U41" s="7">
        <f t="shared" ref="U41:U47" si="37">+K41-T41</f>
        <v>4747500</v>
      </c>
      <c r="V41" s="7"/>
      <c r="W41" s="44"/>
      <c r="X41" s="7">
        <f t="shared" si="4"/>
        <v>4747500</v>
      </c>
    </row>
    <row r="42" spans="1:26" x14ac:dyDescent="0.25">
      <c r="A42" s="90"/>
      <c r="B42" s="4">
        <v>39</v>
      </c>
      <c r="C42" s="11" t="s">
        <v>64</v>
      </c>
      <c r="D42" s="6" t="s">
        <v>27</v>
      </c>
      <c r="E42" s="5">
        <v>4500000</v>
      </c>
      <c r="F42" s="5">
        <v>29</v>
      </c>
      <c r="G42" s="5">
        <f t="shared" si="31"/>
        <v>4350000</v>
      </c>
      <c r="H42" s="5"/>
      <c r="I42" s="5"/>
      <c r="J42" s="5">
        <f>+E42-G42</f>
        <v>150000</v>
      </c>
      <c r="K42" s="5">
        <f t="shared" si="33"/>
        <v>4500000</v>
      </c>
      <c r="L42" s="5">
        <f>+E42*4%</f>
        <v>180000</v>
      </c>
      <c r="M42" s="5">
        <f>+E42*5%</f>
        <v>225000</v>
      </c>
      <c r="N42" s="5"/>
      <c r="O42" s="5"/>
      <c r="P42" s="5">
        <v>10000</v>
      </c>
      <c r="Q42" s="5"/>
      <c r="R42" s="5"/>
      <c r="S42" s="5"/>
      <c r="T42" s="5">
        <f>SUM(L42:S42)</f>
        <v>415000</v>
      </c>
      <c r="U42" s="7">
        <f t="shared" si="37"/>
        <v>4085000</v>
      </c>
      <c r="V42" s="7"/>
      <c r="W42" s="44"/>
      <c r="X42" s="7">
        <f t="shared" si="4"/>
        <v>4085000</v>
      </c>
    </row>
    <row r="43" spans="1:26" ht="24" x14ac:dyDescent="0.25">
      <c r="A43" s="90"/>
      <c r="B43" s="4">
        <v>40</v>
      </c>
      <c r="C43" s="11" t="s">
        <v>65</v>
      </c>
      <c r="D43" s="6"/>
      <c r="E43" s="5">
        <v>6000000</v>
      </c>
      <c r="F43" s="5">
        <v>30</v>
      </c>
      <c r="G43" s="5">
        <f t="shared" si="31"/>
        <v>6000000</v>
      </c>
      <c r="H43" s="5"/>
      <c r="I43" s="5"/>
      <c r="J43" s="5"/>
      <c r="K43" s="5">
        <f t="shared" ref="K43" si="38">SUM(G43:I43)+J43</f>
        <v>6000000</v>
      </c>
      <c r="L43" s="5">
        <f>+G43*4%</f>
        <v>240000</v>
      </c>
      <c r="M43" s="5">
        <f>+G43*5%</f>
        <v>300000</v>
      </c>
      <c r="N43" s="5"/>
      <c r="O43" s="5"/>
      <c r="P43" s="5">
        <v>203000</v>
      </c>
      <c r="Q43" s="5"/>
      <c r="R43" s="5"/>
      <c r="T43" s="5">
        <f>SUM(L43:S43)</f>
        <v>743000</v>
      </c>
      <c r="U43" s="7">
        <f t="shared" si="37"/>
        <v>5257000</v>
      </c>
      <c r="V43" s="7"/>
      <c r="W43" s="44"/>
      <c r="X43" s="7"/>
    </row>
    <row r="44" spans="1:26" ht="26.25" customHeight="1" x14ac:dyDescent="0.25">
      <c r="A44" s="90"/>
      <c r="B44" s="4">
        <v>41</v>
      </c>
      <c r="C44" s="11" t="s">
        <v>66</v>
      </c>
      <c r="D44" s="6" t="s">
        <v>27</v>
      </c>
      <c r="E44" s="5">
        <v>4250000</v>
      </c>
      <c r="F44" s="5">
        <v>30</v>
      </c>
      <c r="G44" s="5">
        <f t="shared" si="31"/>
        <v>4250000</v>
      </c>
      <c r="H44" s="5"/>
      <c r="I44" s="5"/>
      <c r="J44" s="5"/>
      <c r="K44" s="5">
        <f t="shared" ref="K44" si="39">SUM(G44:I44)+J44</f>
        <v>4250000</v>
      </c>
      <c r="L44" s="5">
        <f>+G44*4%</f>
        <v>170000</v>
      </c>
      <c r="M44" s="5">
        <f>+G44*5%</f>
        <v>212500</v>
      </c>
      <c r="N44" s="5"/>
      <c r="O44" s="5"/>
      <c r="P44" s="5">
        <v>38000</v>
      </c>
      <c r="Q44" s="5"/>
      <c r="R44" s="5"/>
      <c r="S44" s="5"/>
      <c r="T44" s="5">
        <f t="shared" ref="T44" si="40">SUM(L44:S44)</f>
        <v>420500</v>
      </c>
      <c r="U44" s="7">
        <f t="shared" si="37"/>
        <v>3829500</v>
      </c>
      <c r="V44" s="7"/>
      <c r="W44" s="44"/>
      <c r="X44" s="7">
        <f t="shared" ref="X44" si="41">U44+V44-W44</f>
        <v>3829500</v>
      </c>
    </row>
    <row r="45" spans="1:26" ht="26.25" customHeight="1" x14ac:dyDescent="0.25">
      <c r="A45" s="90"/>
      <c r="B45" s="4">
        <v>42</v>
      </c>
      <c r="C45" s="11" t="s">
        <v>67</v>
      </c>
      <c r="D45" s="6"/>
      <c r="E45" s="5">
        <v>4000000</v>
      </c>
      <c r="F45" s="5">
        <v>30</v>
      </c>
      <c r="G45" s="5">
        <f t="shared" si="31"/>
        <v>4000000.0000000005</v>
      </c>
      <c r="H45" s="5"/>
      <c r="I45" s="5"/>
      <c r="J45" s="5"/>
      <c r="K45" s="5">
        <f t="shared" ref="K45" si="42">SUM(G45:I45)+J45</f>
        <v>4000000.0000000005</v>
      </c>
      <c r="L45" s="5">
        <f>+G45*4%</f>
        <v>160000.00000000003</v>
      </c>
      <c r="M45" s="5">
        <f>+G45*5%</f>
        <v>200000.00000000003</v>
      </c>
      <c r="N45" s="5"/>
      <c r="O45" s="5"/>
      <c r="P45" s="5">
        <v>4500</v>
      </c>
      <c r="Q45" s="5"/>
      <c r="R45" s="5"/>
      <c r="S45" s="5"/>
      <c r="T45" s="5">
        <f t="shared" ref="T45" si="43">SUM(L45:S45)</f>
        <v>364500.00000000006</v>
      </c>
      <c r="U45" s="7">
        <f t="shared" si="37"/>
        <v>3635500.0000000005</v>
      </c>
      <c r="V45" s="7"/>
      <c r="W45" s="44"/>
      <c r="X45" s="7"/>
    </row>
    <row r="46" spans="1:26" ht="24" x14ac:dyDescent="0.25">
      <c r="A46" s="90"/>
      <c r="B46" s="4">
        <v>43</v>
      </c>
      <c r="C46" s="11" t="s">
        <v>68</v>
      </c>
      <c r="D46" s="6" t="s">
        <v>27</v>
      </c>
      <c r="E46" s="5">
        <v>3000000</v>
      </c>
      <c r="F46" s="5">
        <v>30</v>
      </c>
      <c r="G46" s="5">
        <f t="shared" si="31"/>
        <v>3000000</v>
      </c>
      <c r="H46" s="5"/>
      <c r="I46" s="5" t="s">
        <v>1</v>
      </c>
      <c r="J46" s="5"/>
      <c r="K46" s="5">
        <f t="shared" si="33"/>
        <v>3000000</v>
      </c>
      <c r="L46" s="5">
        <f>+K46*4%</f>
        <v>120000</v>
      </c>
      <c r="M46" s="5">
        <f>+K46*5%</f>
        <v>150000</v>
      </c>
      <c r="N46" s="5"/>
      <c r="O46" s="5"/>
      <c r="P46" s="5"/>
      <c r="Q46" s="5"/>
      <c r="R46" s="5"/>
      <c r="S46" s="5"/>
      <c r="T46" s="5">
        <f t="shared" si="2"/>
        <v>270000</v>
      </c>
      <c r="U46" s="7">
        <f t="shared" si="37"/>
        <v>2730000</v>
      </c>
      <c r="V46" s="7"/>
      <c r="W46" s="44"/>
      <c r="X46" s="7">
        <f t="shared" si="4"/>
        <v>2730000</v>
      </c>
    </row>
    <row r="47" spans="1:26" x14ac:dyDescent="0.25">
      <c r="A47" s="90"/>
      <c r="B47" s="4">
        <v>44</v>
      </c>
      <c r="C47" s="11" t="s">
        <v>69</v>
      </c>
      <c r="D47" s="6" t="s">
        <v>27</v>
      </c>
      <c r="E47" s="5">
        <v>5000000</v>
      </c>
      <c r="F47" s="5">
        <v>30</v>
      </c>
      <c r="G47" s="5">
        <f t="shared" si="31"/>
        <v>5000000</v>
      </c>
      <c r="H47" s="5"/>
      <c r="I47" s="5">
        <v>800000</v>
      </c>
      <c r="J47" s="5"/>
      <c r="K47" s="5">
        <f t="shared" si="33"/>
        <v>5800000</v>
      </c>
      <c r="L47" s="5">
        <f>+G47*4%</f>
        <v>200000</v>
      </c>
      <c r="M47" s="5">
        <f>+G47*5%</f>
        <v>250000</v>
      </c>
      <c r="N47" s="5"/>
      <c r="O47" s="5"/>
      <c r="P47" s="5">
        <v>50000</v>
      </c>
      <c r="Q47" s="5"/>
      <c r="R47" s="5"/>
      <c r="S47" s="5"/>
      <c r="T47" s="5">
        <f t="shared" si="2"/>
        <v>500000</v>
      </c>
      <c r="U47" s="7">
        <f t="shared" si="37"/>
        <v>5300000</v>
      </c>
      <c r="V47" s="7"/>
      <c r="W47" s="44"/>
      <c r="X47" s="7">
        <f t="shared" si="4"/>
        <v>5300000</v>
      </c>
      <c r="Y47" s="7">
        <v>4886979</v>
      </c>
      <c r="Z47" s="55">
        <f>+X47-Y47</f>
        <v>413021</v>
      </c>
    </row>
    <row r="48" spans="1:26" ht="30.75" customHeight="1" x14ac:dyDescent="0.25">
      <c r="A48" s="90"/>
      <c r="B48" s="4">
        <v>45</v>
      </c>
      <c r="C48" s="11" t="s">
        <v>70</v>
      </c>
      <c r="D48" s="6" t="s">
        <v>27</v>
      </c>
      <c r="E48" s="5">
        <v>5152050</v>
      </c>
      <c r="F48" s="5">
        <v>30</v>
      </c>
      <c r="G48" s="5">
        <f>+E48-J48</f>
        <v>5152050</v>
      </c>
      <c r="H48" s="5"/>
      <c r="I48" s="5">
        <v>350000</v>
      </c>
      <c r="J48" s="5"/>
      <c r="K48" s="5">
        <f t="shared" si="33"/>
        <v>5502050</v>
      </c>
      <c r="L48" s="5">
        <f>+G48*4%</f>
        <v>206082</v>
      </c>
      <c r="M48" s="5">
        <f>+G48*5%</f>
        <v>257602.5</v>
      </c>
      <c r="N48" s="5"/>
      <c r="O48" s="5"/>
      <c r="P48" s="5">
        <v>93000</v>
      </c>
      <c r="Q48" s="5"/>
      <c r="R48" s="5"/>
      <c r="S48" s="5"/>
      <c r="T48" s="5">
        <f t="shared" si="2"/>
        <v>556684.5</v>
      </c>
      <c r="U48" s="7">
        <f>K48-T48</f>
        <v>4945365.5</v>
      </c>
      <c r="V48" s="7"/>
      <c r="W48" s="44"/>
      <c r="X48" s="7">
        <f t="shared" si="4"/>
        <v>4945365.5</v>
      </c>
    </row>
    <row r="49" spans="1:24" x14ac:dyDescent="0.25">
      <c r="A49" s="90"/>
      <c r="B49" s="4">
        <v>46</v>
      </c>
      <c r="C49" s="11" t="s">
        <v>71</v>
      </c>
      <c r="D49" s="6" t="s">
        <v>27</v>
      </c>
      <c r="E49" s="5">
        <v>6900000</v>
      </c>
      <c r="F49" s="5">
        <v>30</v>
      </c>
      <c r="G49" s="5">
        <f t="shared" si="31"/>
        <v>6900000</v>
      </c>
      <c r="H49" s="5"/>
      <c r="I49" s="5"/>
      <c r="J49" s="5"/>
      <c r="K49" s="5">
        <f t="shared" si="33"/>
        <v>6900000</v>
      </c>
      <c r="L49" s="5">
        <v>276000</v>
      </c>
      <c r="M49" s="5">
        <v>345000</v>
      </c>
      <c r="N49" s="5"/>
      <c r="O49" s="5"/>
      <c r="P49" s="5">
        <v>219000</v>
      </c>
      <c r="Q49" s="5"/>
      <c r="R49" s="5"/>
      <c r="S49" s="5"/>
      <c r="T49" s="5">
        <f t="shared" si="2"/>
        <v>840000</v>
      </c>
      <c r="U49" s="7">
        <f>K49-T49</f>
        <v>6060000</v>
      </c>
      <c r="V49" s="7"/>
      <c r="W49" s="44"/>
      <c r="X49" s="7">
        <f t="shared" si="4"/>
        <v>6060000</v>
      </c>
    </row>
    <row r="50" spans="1:24" x14ac:dyDescent="0.25">
      <c r="A50" s="91"/>
      <c r="B50" s="4">
        <v>47</v>
      </c>
      <c r="C50" s="11" t="s">
        <v>72</v>
      </c>
      <c r="D50" s="6" t="s">
        <v>27</v>
      </c>
      <c r="E50" s="5">
        <v>4500000</v>
      </c>
      <c r="F50" s="5">
        <v>30</v>
      </c>
      <c r="G50" s="5">
        <f t="shared" si="31"/>
        <v>4500000</v>
      </c>
      <c r="H50" s="5"/>
      <c r="I50" s="5"/>
      <c r="J50" s="5"/>
      <c r="K50" s="5">
        <f t="shared" si="33"/>
        <v>4500000</v>
      </c>
      <c r="L50" s="5">
        <f>+G50*4%</f>
        <v>180000</v>
      </c>
      <c r="M50" s="5">
        <f>+G50*5%</f>
        <v>225000</v>
      </c>
      <c r="N50" s="5"/>
      <c r="O50" s="5"/>
      <c r="P50" s="5">
        <v>31000</v>
      </c>
      <c r="Q50" s="5"/>
      <c r="R50" s="5"/>
      <c r="S50" s="5"/>
      <c r="T50" s="5">
        <f t="shared" si="2"/>
        <v>436000</v>
      </c>
      <c r="U50" s="7">
        <f>K50-T50</f>
        <v>4064000</v>
      </c>
      <c r="V50" s="7"/>
      <c r="W50" s="44"/>
      <c r="X50" s="7">
        <f t="shared" si="4"/>
        <v>4064000</v>
      </c>
    </row>
    <row r="51" spans="1:24" x14ac:dyDescent="0.25">
      <c r="A51" s="89" t="s">
        <v>144</v>
      </c>
      <c r="B51" s="4">
        <v>1</v>
      </c>
      <c r="C51" s="11" t="s">
        <v>145</v>
      </c>
      <c r="D51" s="6"/>
      <c r="E51" s="5">
        <v>368858</v>
      </c>
      <c r="F51" s="5">
        <v>9</v>
      </c>
      <c r="G51" s="5">
        <f t="shared" si="31"/>
        <v>110657.4</v>
      </c>
      <c r="H51" s="5"/>
      <c r="I51" s="5"/>
      <c r="J51" s="5"/>
      <c r="K51" s="5">
        <f t="shared" si="33"/>
        <v>110657.4</v>
      </c>
      <c r="L51" s="5"/>
      <c r="M51" s="5"/>
      <c r="N51" s="5"/>
      <c r="O51" s="5"/>
      <c r="P51" s="5"/>
      <c r="Q51" s="5"/>
      <c r="R51" s="5"/>
      <c r="S51" s="5"/>
      <c r="T51" s="5"/>
      <c r="U51" s="7">
        <f>K51-T51</f>
        <v>110657.4</v>
      </c>
      <c r="V51" s="7"/>
      <c r="W51" s="44"/>
      <c r="X51" s="7">
        <f t="shared" si="4"/>
        <v>110657.4</v>
      </c>
    </row>
    <row r="52" spans="1:24" x14ac:dyDescent="0.25">
      <c r="A52" s="90"/>
      <c r="B52" s="4">
        <v>2</v>
      </c>
      <c r="C52" s="11" t="s">
        <v>73</v>
      </c>
      <c r="D52" s="6" t="s">
        <v>27</v>
      </c>
      <c r="E52" s="5">
        <v>3000000</v>
      </c>
      <c r="F52" s="5">
        <v>30</v>
      </c>
      <c r="G52" s="5">
        <f t="shared" si="31"/>
        <v>3000000</v>
      </c>
      <c r="H52" s="5"/>
      <c r="I52" s="5"/>
      <c r="J52" s="5"/>
      <c r="K52" s="5">
        <f t="shared" si="33"/>
        <v>3000000</v>
      </c>
      <c r="L52" s="5">
        <v>120000</v>
      </c>
      <c r="M52" s="5">
        <v>150000</v>
      </c>
      <c r="N52" s="5"/>
      <c r="O52" s="5"/>
      <c r="P52" s="5"/>
      <c r="Q52" s="5"/>
      <c r="R52" s="5"/>
      <c r="S52" s="5"/>
      <c r="T52" s="5">
        <f t="shared" si="2"/>
        <v>270000</v>
      </c>
      <c r="U52" s="7">
        <f>K52-T52</f>
        <v>2730000</v>
      </c>
      <c r="V52" s="7"/>
      <c r="W52" s="44"/>
      <c r="X52" s="7">
        <f t="shared" si="4"/>
        <v>2730000</v>
      </c>
    </row>
    <row r="53" spans="1:24" ht="24" customHeight="1" x14ac:dyDescent="0.25">
      <c r="A53" s="90"/>
      <c r="B53" s="4">
        <v>3</v>
      </c>
      <c r="C53" s="11" t="s">
        <v>74</v>
      </c>
      <c r="D53" s="6" t="s">
        <v>27</v>
      </c>
      <c r="E53" s="5">
        <v>4000000</v>
      </c>
      <c r="F53" s="5">
        <v>30</v>
      </c>
      <c r="G53" s="5">
        <f t="shared" si="31"/>
        <v>4000000.0000000005</v>
      </c>
      <c r="H53" s="5"/>
      <c r="I53" s="5"/>
      <c r="J53" s="5"/>
      <c r="K53" s="5">
        <f t="shared" si="33"/>
        <v>4000000.0000000005</v>
      </c>
      <c r="L53" s="5">
        <f>+G53*4%</f>
        <v>160000.00000000003</v>
      </c>
      <c r="M53" s="5">
        <f>+G53*5%</f>
        <v>200000.00000000003</v>
      </c>
      <c r="N53" s="5"/>
      <c r="O53" s="5"/>
      <c r="P53" s="17">
        <v>3000</v>
      </c>
      <c r="Q53" s="5"/>
      <c r="R53" s="5">
        <v>163485</v>
      </c>
      <c r="S53" s="5"/>
      <c r="T53" s="5">
        <f t="shared" si="2"/>
        <v>526485</v>
      </c>
      <c r="U53" s="7">
        <f>+K53-T53</f>
        <v>3473515.0000000005</v>
      </c>
      <c r="V53" s="7"/>
      <c r="W53" s="44"/>
      <c r="X53" s="7">
        <f t="shared" si="4"/>
        <v>3473515.0000000005</v>
      </c>
    </row>
    <row r="54" spans="1:24" ht="25.5" customHeight="1" x14ac:dyDescent="0.25">
      <c r="A54" s="90"/>
      <c r="B54" s="4">
        <v>4</v>
      </c>
      <c r="C54" s="11" t="s">
        <v>75</v>
      </c>
      <c r="D54" s="6" t="s">
        <v>27</v>
      </c>
      <c r="E54" s="5">
        <v>737717</v>
      </c>
      <c r="F54" s="5">
        <v>30</v>
      </c>
      <c r="G54" s="5">
        <f t="shared" si="31"/>
        <v>737717</v>
      </c>
      <c r="H54" s="5">
        <v>83140</v>
      </c>
      <c r="I54" s="5"/>
      <c r="J54" s="5"/>
      <c r="K54" s="5">
        <f t="shared" si="33"/>
        <v>820857</v>
      </c>
      <c r="L54" s="5">
        <f>+G54*4%</f>
        <v>29508.68</v>
      </c>
      <c r="M54" s="5">
        <v>29508</v>
      </c>
      <c r="N54" s="5"/>
      <c r="O54" s="5"/>
      <c r="P54" s="17"/>
      <c r="Q54" s="5"/>
      <c r="R54" s="5"/>
      <c r="S54" s="5"/>
      <c r="T54" s="5">
        <f t="shared" ref="T54" si="44">SUM(L54:S54)</f>
        <v>59016.68</v>
      </c>
      <c r="U54" s="7">
        <f>+K54-T54</f>
        <v>761840.32</v>
      </c>
      <c r="V54" s="7"/>
      <c r="W54" s="44"/>
      <c r="X54" s="7">
        <f t="shared" si="4"/>
        <v>761840.32</v>
      </c>
    </row>
    <row r="55" spans="1:24" x14ac:dyDescent="0.25">
      <c r="A55" s="90"/>
      <c r="B55" s="4">
        <v>5</v>
      </c>
      <c r="C55" s="3" t="s">
        <v>76</v>
      </c>
      <c r="D55" s="4" t="s">
        <v>27</v>
      </c>
      <c r="E55" s="5">
        <v>1600000</v>
      </c>
      <c r="F55" s="5">
        <v>30</v>
      </c>
      <c r="G55" s="5">
        <f t="shared" si="31"/>
        <v>1600000</v>
      </c>
      <c r="H55" s="5"/>
      <c r="I55" s="5"/>
      <c r="J55" s="5"/>
      <c r="K55" s="5">
        <f t="shared" ref="K55" si="45">SUM(G55:I55)+J55</f>
        <v>1600000</v>
      </c>
      <c r="L55" s="5">
        <f>+G55*4%</f>
        <v>64000</v>
      </c>
      <c r="M55" s="5">
        <f>+G55*4%</f>
        <v>64000</v>
      </c>
      <c r="N55" s="5"/>
      <c r="O55" s="5"/>
      <c r="P55" s="5"/>
      <c r="Q55" s="5"/>
      <c r="R55" s="5"/>
      <c r="S55" s="5"/>
      <c r="T55" s="5">
        <f t="shared" si="2"/>
        <v>128000</v>
      </c>
      <c r="U55" s="7">
        <f>K55-T55</f>
        <v>1472000</v>
      </c>
      <c r="V55" s="7"/>
      <c r="W55" s="44"/>
      <c r="X55" s="7">
        <f t="shared" si="4"/>
        <v>1472000</v>
      </c>
    </row>
    <row r="56" spans="1:24" ht="18" customHeight="1" x14ac:dyDescent="0.25">
      <c r="A56" s="90"/>
      <c r="B56" s="4">
        <v>6</v>
      </c>
      <c r="C56" s="11" t="s">
        <v>77</v>
      </c>
      <c r="D56" s="6" t="s">
        <v>27</v>
      </c>
      <c r="E56" s="5">
        <v>737717</v>
      </c>
      <c r="F56" s="5">
        <v>30</v>
      </c>
      <c r="G56" s="5">
        <f t="shared" si="31"/>
        <v>737717</v>
      </c>
      <c r="H56" s="5">
        <f t="shared" ref="H56:H59" si="46">+(83140/30)*F56</f>
        <v>83140</v>
      </c>
      <c r="I56" s="5"/>
      <c r="J56" s="5"/>
      <c r="K56" s="5">
        <f t="shared" si="33"/>
        <v>820857</v>
      </c>
      <c r="L56" s="5">
        <f t="shared" ref="L56" si="47">+G56*4%</f>
        <v>29508.68</v>
      </c>
      <c r="M56" s="5">
        <f>+G56*4%</f>
        <v>29508.68</v>
      </c>
      <c r="N56" s="5"/>
      <c r="O56" s="5"/>
      <c r="P56" s="17"/>
      <c r="Q56" s="5"/>
      <c r="R56" s="5"/>
      <c r="S56" s="5"/>
      <c r="T56" s="5">
        <f t="shared" ref="T56:T115" si="48">SUM(L56:S56)</f>
        <v>59017.36</v>
      </c>
      <c r="U56" s="7">
        <f>+K56-T56</f>
        <v>761839.64</v>
      </c>
      <c r="V56" s="7"/>
      <c r="W56" s="44"/>
      <c r="X56" s="7">
        <f t="shared" si="4"/>
        <v>761839.64</v>
      </c>
    </row>
    <row r="57" spans="1:24" x14ac:dyDescent="0.25">
      <c r="A57" s="90"/>
      <c r="B57" s="4">
        <v>7</v>
      </c>
      <c r="C57" s="3" t="s">
        <v>78</v>
      </c>
      <c r="D57" s="4" t="s">
        <v>27</v>
      </c>
      <c r="E57" s="5">
        <v>1200000</v>
      </c>
      <c r="F57" s="5">
        <v>30</v>
      </c>
      <c r="G57" s="5">
        <f t="shared" si="31"/>
        <v>1200000</v>
      </c>
      <c r="H57" s="5">
        <f t="shared" si="46"/>
        <v>83140</v>
      </c>
      <c r="I57" s="5"/>
      <c r="J57" s="5"/>
      <c r="K57" s="5">
        <f t="shared" ref="K57" si="49">SUM(G57:I57)+J57</f>
        <v>1283140</v>
      </c>
      <c r="L57" s="5">
        <f>+G57*4%</f>
        <v>48000</v>
      </c>
      <c r="M57" s="5">
        <v>48000</v>
      </c>
      <c r="N57" s="5"/>
      <c r="O57" s="5"/>
      <c r="P57" s="5"/>
      <c r="Q57" s="5"/>
      <c r="R57" s="5"/>
      <c r="S57" s="5"/>
      <c r="T57" s="5">
        <f t="shared" si="48"/>
        <v>96000</v>
      </c>
      <c r="U57" s="7">
        <f>K57-T57</f>
        <v>1187140</v>
      </c>
      <c r="V57" s="7"/>
      <c r="W57" s="44"/>
      <c r="X57" s="7">
        <f t="shared" si="4"/>
        <v>1187140</v>
      </c>
    </row>
    <row r="58" spans="1:24" x14ac:dyDescent="0.25">
      <c r="A58" s="90"/>
      <c r="B58" s="4">
        <v>8</v>
      </c>
      <c r="C58" s="11" t="s">
        <v>79</v>
      </c>
      <c r="D58" s="6" t="s">
        <v>35</v>
      </c>
      <c r="E58" s="5">
        <v>1100000</v>
      </c>
      <c r="F58" s="5">
        <v>30</v>
      </c>
      <c r="G58" s="5">
        <f>+E58/30*F58</f>
        <v>1100000</v>
      </c>
      <c r="H58" s="5">
        <f t="shared" si="46"/>
        <v>83140</v>
      </c>
      <c r="I58" s="5"/>
      <c r="J58" s="5"/>
      <c r="K58" s="5">
        <f t="shared" si="33"/>
        <v>1183140</v>
      </c>
      <c r="L58" s="5">
        <v>44000</v>
      </c>
      <c r="M58" s="5">
        <v>44000</v>
      </c>
      <c r="N58" s="5"/>
      <c r="O58" s="5"/>
      <c r="P58" s="17"/>
      <c r="Q58" s="5"/>
      <c r="R58" s="5"/>
      <c r="S58" s="5"/>
      <c r="T58" s="5">
        <f>SUM(L58:S58)</f>
        <v>88000</v>
      </c>
      <c r="U58" s="7">
        <f>+K58-T58</f>
        <v>1095140</v>
      </c>
      <c r="V58" s="7"/>
      <c r="W58" s="44"/>
      <c r="X58" s="7">
        <f t="shared" si="4"/>
        <v>1095140</v>
      </c>
    </row>
    <row r="59" spans="1:24" x14ac:dyDescent="0.25">
      <c r="A59" s="90"/>
      <c r="B59" s="4">
        <v>9</v>
      </c>
      <c r="C59" s="11" t="s">
        <v>80</v>
      </c>
      <c r="D59" s="6" t="s">
        <v>27</v>
      </c>
      <c r="E59" s="5">
        <v>737717</v>
      </c>
      <c r="F59" s="5">
        <v>30</v>
      </c>
      <c r="G59" s="5">
        <f t="shared" ref="G59:G64" si="50">+E59/30*F59</f>
        <v>737717</v>
      </c>
      <c r="H59" s="5">
        <f t="shared" si="46"/>
        <v>83140</v>
      </c>
      <c r="I59" s="5"/>
      <c r="J59" s="5"/>
      <c r="K59" s="5">
        <f t="shared" ref="K59:K60" si="51">SUM(G59:I59)+J59</f>
        <v>820857</v>
      </c>
      <c r="L59" s="5">
        <f t="shared" ref="L59:L60" si="52">+G59*4%</f>
        <v>29508.68</v>
      </c>
      <c r="M59" s="5">
        <f t="shared" ref="M59:M60" si="53">+G59*4%</f>
        <v>29508.68</v>
      </c>
      <c r="N59" s="5"/>
      <c r="O59" s="5"/>
      <c r="P59" s="17"/>
      <c r="Q59" s="5"/>
      <c r="R59" s="5"/>
      <c r="S59" s="5"/>
      <c r="T59" s="5">
        <f t="shared" ref="T59:T60" si="54">SUM(L59:S59)</f>
        <v>59017.36</v>
      </c>
      <c r="U59" s="7">
        <f t="shared" ref="U59:U67" si="55">+K59-T59</f>
        <v>761839.64</v>
      </c>
      <c r="V59" s="7"/>
      <c r="W59" s="44"/>
      <c r="X59" s="7">
        <f t="shared" si="4"/>
        <v>761839.64</v>
      </c>
    </row>
    <row r="60" spans="1:24" ht="24" x14ac:dyDescent="0.25">
      <c r="A60" s="90"/>
      <c r="B60" s="4">
        <v>10</v>
      </c>
      <c r="C60" s="11" t="s">
        <v>81</v>
      </c>
      <c r="D60" s="6" t="s">
        <v>27</v>
      </c>
      <c r="E60" s="5">
        <v>1100000</v>
      </c>
      <c r="F60" s="5">
        <v>30</v>
      </c>
      <c r="G60" s="5">
        <f t="shared" si="50"/>
        <v>1100000</v>
      </c>
      <c r="H60" s="5">
        <v>83140</v>
      </c>
      <c r="I60" s="5"/>
      <c r="J60" s="5"/>
      <c r="K60" s="5">
        <f t="shared" si="51"/>
        <v>1183140</v>
      </c>
      <c r="L60" s="5">
        <f t="shared" si="52"/>
        <v>44000</v>
      </c>
      <c r="M60" s="5">
        <f t="shared" si="53"/>
        <v>44000</v>
      </c>
      <c r="N60" s="5"/>
      <c r="O60" s="5"/>
      <c r="P60" s="17"/>
      <c r="Q60" s="5"/>
      <c r="R60" s="5"/>
      <c r="S60" s="5"/>
      <c r="T60" s="5">
        <f t="shared" si="54"/>
        <v>88000</v>
      </c>
      <c r="U60" s="7">
        <f t="shared" si="55"/>
        <v>1095140</v>
      </c>
      <c r="V60" s="7"/>
      <c r="W60" s="44"/>
      <c r="X60" s="7">
        <f t="shared" si="4"/>
        <v>1095140</v>
      </c>
    </row>
    <row r="61" spans="1:24" ht="21.75" customHeight="1" x14ac:dyDescent="0.25">
      <c r="A61" s="90"/>
      <c r="B61" s="4">
        <v>11</v>
      </c>
      <c r="C61" s="11" t="s">
        <v>82</v>
      </c>
      <c r="D61" s="6" t="s">
        <v>27</v>
      </c>
      <c r="E61" s="5">
        <v>1450000</v>
      </c>
      <c r="F61" s="5">
        <v>30</v>
      </c>
      <c r="G61" s="5">
        <f t="shared" si="50"/>
        <v>1450000</v>
      </c>
      <c r="H61" s="5">
        <f>+(83140/30)*F61</f>
        <v>83140</v>
      </c>
      <c r="I61" s="5"/>
      <c r="J61" s="5"/>
      <c r="K61" s="5">
        <f t="shared" si="33"/>
        <v>1533140</v>
      </c>
      <c r="L61" s="5">
        <f>+G61*4%</f>
        <v>58000</v>
      </c>
      <c r="M61" s="5">
        <f>+G61*4%</f>
        <v>58000</v>
      </c>
      <c r="N61" s="5"/>
      <c r="O61" s="5"/>
      <c r="P61" s="5">
        <v>0</v>
      </c>
      <c r="Q61" s="5"/>
      <c r="R61" s="5"/>
      <c r="S61" s="5"/>
      <c r="T61" s="5">
        <f t="shared" si="48"/>
        <v>116000</v>
      </c>
      <c r="U61" s="7">
        <f t="shared" si="55"/>
        <v>1417140</v>
      </c>
      <c r="V61" s="7"/>
      <c r="W61" s="44"/>
      <c r="X61" s="7">
        <f t="shared" si="4"/>
        <v>1417140</v>
      </c>
    </row>
    <row r="62" spans="1:24" x14ac:dyDescent="0.25">
      <c r="A62" s="90"/>
      <c r="B62" s="4">
        <v>12</v>
      </c>
      <c r="C62" s="11" t="s">
        <v>83</v>
      </c>
      <c r="D62" s="6" t="s">
        <v>27</v>
      </c>
      <c r="E62" s="5">
        <v>737717</v>
      </c>
      <c r="F62" s="5">
        <v>30</v>
      </c>
      <c r="G62" s="5">
        <f t="shared" si="50"/>
        <v>737717</v>
      </c>
      <c r="H62" s="5">
        <v>83140</v>
      </c>
      <c r="I62" s="5"/>
      <c r="J62" s="5"/>
      <c r="K62" s="5">
        <f t="shared" ref="K62" si="56">SUM(G62:I62)+J62</f>
        <v>820857</v>
      </c>
      <c r="L62" s="5">
        <f>+G62*4%</f>
        <v>29508.68</v>
      </c>
      <c r="M62" s="5">
        <f t="shared" ref="M62" si="57">+G62*4%</f>
        <v>29508.68</v>
      </c>
      <c r="N62" s="5"/>
      <c r="O62" s="5"/>
      <c r="P62" s="17"/>
      <c r="Q62" s="5"/>
      <c r="R62" s="5"/>
      <c r="S62" s="5"/>
      <c r="T62" s="5">
        <f t="shared" si="48"/>
        <v>59017.36</v>
      </c>
      <c r="U62" s="7">
        <f t="shared" si="55"/>
        <v>761839.64</v>
      </c>
      <c r="V62" s="7"/>
      <c r="W62" s="44"/>
      <c r="X62" s="7">
        <f t="shared" si="4"/>
        <v>761839.64</v>
      </c>
    </row>
    <row r="63" spans="1:24" ht="17.25" customHeight="1" x14ac:dyDescent="0.25">
      <c r="A63" s="90"/>
      <c r="B63" s="4">
        <v>13</v>
      </c>
      <c r="C63" s="11" t="s">
        <v>84</v>
      </c>
      <c r="D63" s="6" t="s">
        <v>27</v>
      </c>
      <c r="E63" s="5">
        <v>3500000</v>
      </c>
      <c r="F63" s="5">
        <v>30</v>
      </c>
      <c r="G63" s="5">
        <f>(E63/30*F63)</f>
        <v>3500000</v>
      </c>
      <c r="H63" s="5"/>
      <c r="I63" s="5">
        <v>1000000</v>
      </c>
      <c r="J63" s="5"/>
      <c r="K63" s="5">
        <f t="shared" ref="K63" si="58">SUM(G63:I63)+J63</f>
        <v>4500000</v>
      </c>
      <c r="L63" s="5">
        <f t="shared" ref="L63" si="59">+G63*4%</f>
        <v>140000</v>
      </c>
      <c r="M63" s="5">
        <f>+G63*5%</f>
        <v>175000</v>
      </c>
      <c r="N63" s="5"/>
      <c r="O63" s="5"/>
      <c r="P63" s="5">
        <v>0</v>
      </c>
      <c r="Q63" s="5"/>
      <c r="R63" s="5"/>
      <c r="S63" s="5"/>
      <c r="T63" s="5">
        <f t="shared" ref="T63" si="60">SUM(L63:S63)</f>
        <v>315000</v>
      </c>
      <c r="U63" s="7">
        <f t="shared" si="55"/>
        <v>4185000</v>
      </c>
      <c r="V63" s="7"/>
      <c r="W63" s="44"/>
      <c r="X63" s="7">
        <f t="shared" si="4"/>
        <v>4185000</v>
      </c>
    </row>
    <row r="64" spans="1:24" ht="17.25" customHeight="1" x14ac:dyDescent="0.25">
      <c r="A64" s="90"/>
      <c r="B64" s="4">
        <v>14</v>
      </c>
      <c r="C64" s="11" t="s">
        <v>85</v>
      </c>
      <c r="D64" s="6" t="s">
        <v>27</v>
      </c>
      <c r="E64" s="5">
        <v>2500000</v>
      </c>
      <c r="F64" s="5">
        <v>30</v>
      </c>
      <c r="G64" s="5">
        <f t="shared" si="50"/>
        <v>2500000</v>
      </c>
      <c r="H64" s="5"/>
      <c r="I64" s="5"/>
      <c r="J64" s="5"/>
      <c r="K64" s="5">
        <f t="shared" si="33"/>
        <v>2500000</v>
      </c>
      <c r="L64" s="5">
        <f>+G64*4%</f>
        <v>100000</v>
      </c>
      <c r="M64" s="5">
        <f>+G64*4%</f>
        <v>100000</v>
      </c>
      <c r="N64" s="5"/>
      <c r="O64" s="5"/>
      <c r="P64" s="5">
        <v>0</v>
      </c>
      <c r="Q64" s="5"/>
      <c r="R64" s="5"/>
      <c r="S64" s="5">
        <v>200210</v>
      </c>
      <c r="T64" s="5">
        <f t="shared" si="48"/>
        <v>400210</v>
      </c>
      <c r="U64" s="7">
        <f t="shared" si="55"/>
        <v>2099790</v>
      </c>
      <c r="V64" s="7"/>
      <c r="W64" s="44"/>
      <c r="X64" s="7">
        <f t="shared" si="4"/>
        <v>2099790</v>
      </c>
    </row>
    <row r="65" spans="1:27" ht="17.25" customHeight="1" x14ac:dyDescent="0.25">
      <c r="A65" s="90"/>
      <c r="B65" s="4">
        <v>15</v>
      </c>
      <c r="C65" s="11" t="s">
        <v>86</v>
      </c>
      <c r="D65" s="6" t="s">
        <v>27</v>
      </c>
      <c r="E65" s="5">
        <v>1200000</v>
      </c>
      <c r="F65" s="5">
        <v>30</v>
      </c>
      <c r="G65" s="5">
        <f>E65/30*F65</f>
        <v>1200000</v>
      </c>
      <c r="H65" s="5">
        <f>+(83140/30)*F65</f>
        <v>83140</v>
      </c>
      <c r="I65" s="5"/>
      <c r="J65" s="5">
        <f>+E65-G65</f>
        <v>0</v>
      </c>
      <c r="K65" s="5">
        <f t="shared" ref="K65" si="61">SUM(G65:I65)+J65</f>
        <v>1283140</v>
      </c>
      <c r="L65" s="5">
        <v>48000</v>
      </c>
      <c r="M65" s="5">
        <v>48000</v>
      </c>
      <c r="N65" s="5"/>
      <c r="O65" s="5"/>
      <c r="P65" s="5">
        <v>0</v>
      </c>
      <c r="Q65" s="5"/>
      <c r="R65" s="5"/>
      <c r="S65" s="5"/>
      <c r="T65" s="5">
        <f t="shared" ref="T65:T66" si="62">SUM(L65:S65)</f>
        <v>96000</v>
      </c>
      <c r="U65" s="7">
        <f t="shared" si="55"/>
        <v>1187140</v>
      </c>
      <c r="V65" s="7"/>
      <c r="W65" s="44"/>
      <c r="X65" s="7">
        <f t="shared" si="4"/>
        <v>1187140</v>
      </c>
    </row>
    <row r="66" spans="1:27" ht="17.25" customHeight="1" x14ac:dyDescent="0.25">
      <c r="A66" s="90"/>
      <c r="B66" s="4">
        <v>16</v>
      </c>
      <c r="C66" s="11" t="s">
        <v>87</v>
      </c>
      <c r="D66" s="6" t="s">
        <v>27</v>
      </c>
      <c r="E66" s="5">
        <v>900000</v>
      </c>
      <c r="F66" s="5">
        <v>16</v>
      </c>
      <c r="G66" s="5">
        <f>E66/30*F66</f>
        <v>480000</v>
      </c>
      <c r="H66" s="5">
        <f>+(83140/30)*F66</f>
        <v>44341.333333333336</v>
      </c>
      <c r="I66" s="5"/>
      <c r="J66" s="5"/>
      <c r="K66" s="5">
        <f t="shared" ref="K66" si="63">SUM(G66:I66)+J66</f>
        <v>524341.33333333337</v>
      </c>
      <c r="L66" s="5">
        <f>+G66*4%</f>
        <v>19200</v>
      </c>
      <c r="M66" s="5">
        <f t="shared" ref="M66" si="64">+G66*4%</f>
        <v>19200</v>
      </c>
      <c r="N66" s="5"/>
      <c r="O66" s="5"/>
      <c r="P66" s="5">
        <v>0</v>
      </c>
      <c r="Q66" s="5"/>
      <c r="R66" s="5"/>
      <c r="S66" s="5"/>
      <c r="T66" s="5">
        <f t="shared" si="62"/>
        <v>38400</v>
      </c>
      <c r="U66" s="7">
        <f t="shared" si="55"/>
        <v>485941.33333333337</v>
      </c>
      <c r="V66" s="7"/>
      <c r="W66" s="44"/>
      <c r="X66" s="7">
        <f t="shared" si="4"/>
        <v>485941.33333333337</v>
      </c>
    </row>
    <row r="67" spans="1:27" ht="24" x14ac:dyDescent="0.25">
      <c r="A67" s="90"/>
      <c r="B67" s="4">
        <v>17</v>
      </c>
      <c r="C67" s="11" t="s">
        <v>88</v>
      </c>
      <c r="D67" s="6" t="s">
        <v>27</v>
      </c>
      <c r="E67" s="5">
        <v>2000000</v>
      </c>
      <c r="F67" s="5">
        <v>30</v>
      </c>
      <c r="G67" s="5">
        <f>E67/30*F67</f>
        <v>2000000.0000000002</v>
      </c>
      <c r="H67" s="5"/>
      <c r="I67" s="5"/>
      <c r="J67" s="5">
        <f>+E67-G67</f>
        <v>0</v>
      </c>
      <c r="K67" s="5">
        <f t="shared" si="33"/>
        <v>2000000.0000000002</v>
      </c>
      <c r="L67" s="5">
        <f>+G67*4%</f>
        <v>80000.000000000015</v>
      </c>
      <c r="M67" s="5">
        <v>80000</v>
      </c>
      <c r="N67" s="5"/>
      <c r="O67" s="5"/>
      <c r="P67" s="5">
        <v>0</v>
      </c>
      <c r="Q67" s="5"/>
      <c r="R67" s="5"/>
      <c r="S67" s="5"/>
      <c r="T67" s="5">
        <f t="shared" si="48"/>
        <v>160000</v>
      </c>
      <c r="U67" s="7">
        <f t="shared" si="55"/>
        <v>1840000.0000000002</v>
      </c>
      <c r="V67" s="7"/>
      <c r="W67" s="44"/>
      <c r="X67" s="7">
        <f t="shared" si="4"/>
        <v>1840000.0000000002</v>
      </c>
    </row>
    <row r="68" spans="1:27" x14ac:dyDescent="0.25">
      <c r="A68" s="90"/>
      <c r="B68" s="4">
        <v>18</v>
      </c>
      <c r="C68" s="3" t="s">
        <v>89</v>
      </c>
      <c r="D68" s="4" t="s">
        <v>27</v>
      </c>
      <c r="E68" s="5">
        <v>3500000</v>
      </c>
      <c r="F68" s="5">
        <v>30</v>
      </c>
      <c r="G68" s="5">
        <f>+E68/30*F68</f>
        <v>3500000</v>
      </c>
      <c r="H68" s="5"/>
      <c r="I68" s="5"/>
      <c r="J68" s="5"/>
      <c r="K68" s="5">
        <f t="shared" si="33"/>
        <v>3500000</v>
      </c>
      <c r="L68" s="5">
        <v>140000</v>
      </c>
      <c r="M68" s="5">
        <v>175000</v>
      </c>
      <c r="N68" s="5"/>
      <c r="O68" s="5"/>
      <c r="P68" s="5">
        <v>0</v>
      </c>
      <c r="Q68" s="5"/>
      <c r="R68" s="5"/>
      <c r="S68" s="5"/>
      <c r="T68" s="5">
        <f t="shared" si="48"/>
        <v>315000</v>
      </c>
      <c r="U68" s="7">
        <f t="shared" ref="U68:U79" si="65">K68-T68</f>
        <v>3185000</v>
      </c>
      <c r="V68" s="7"/>
      <c r="W68" s="44"/>
      <c r="X68" s="7">
        <f t="shared" ref="X68:X115" si="66">U68+V68-W68</f>
        <v>3185000</v>
      </c>
    </row>
    <row r="69" spans="1:27" x14ac:dyDescent="0.25">
      <c r="A69" s="90"/>
      <c r="B69" s="4">
        <v>19</v>
      </c>
      <c r="C69" s="11" t="s">
        <v>90</v>
      </c>
      <c r="D69" s="6" t="s">
        <v>27</v>
      </c>
      <c r="E69" s="5">
        <v>4000000</v>
      </c>
      <c r="F69" s="5">
        <v>30</v>
      </c>
      <c r="G69" s="5">
        <f>+E69/30*F69</f>
        <v>4000000.0000000005</v>
      </c>
      <c r="H69" s="5"/>
      <c r="I69" s="5">
        <v>300000</v>
      </c>
      <c r="J69" s="5">
        <f>+E69-G69</f>
        <v>0</v>
      </c>
      <c r="K69" s="5">
        <f t="shared" si="33"/>
        <v>4300000</v>
      </c>
      <c r="L69" s="5">
        <v>160000</v>
      </c>
      <c r="M69" s="5">
        <v>200000</v>
      </c>
      <c r="N69" s="5"/>
      <c r="O69" s="5"/>
      <c r="P69" s="5">
        <v>3000</v>
      </c>
      <c r="Q69" s="5"/>
      <c r="R69" s="5"/>
      <c r="S69" s="5">
        <v>766228</v>
      </c>
      <c r="T69" s="5">
        <f t="shared" si="48"/>
        <v>1129228</v>
      </c>
      <c r="U69" s="7">
        <f t="shared" si="65"/>
        <v>3170772</v>
      </c>
      <c r="V69" s="7"/>
      <c r="W69" s="44"/>
      <c r="X69" s="7">
        <f t="shared" si="66"/>
        <v>3170772</v>
      </c>
    </row>
    <row r="70" spans="1:27" x14ac:dyDescent="0.25">
      <c r="A70" s="90"/>
      <c r="B70" s="4">
        <v>20</v>
      </c>
      <c r="C70" s="11" t="s">
        <v>91</v>
      </c>
      <c r="D70" s="6" t="s">
        <v>27</v>
      </c>
      <c r="E70" s="5">
        <v>737717</v>
      </c>
      <c r="F70" s="5">
        <v>30</v>
      </c>
      <c r="G70" s="5">
        <f>+E70/30*F70</f>
        <v>737717</v>
      </c>
      <c r="H70" s="5"/>
      <c r="I70" s="5"/>
      <c r="J70" s="5"/>
      <c r="K70" s="5">
        <f t="shared" si="33"/>
        <v>737717</v>
      </c>
      <c r="L70" s="5"/>
      <c r="M70" s="5"/>
      <c r="N70" s="5"/>
      <c r="O70" s="5"/>
      <c r="P70" s="5"/>
      <c r="Q70" s="5"/>
      <c r="R70" s="5"/>
      <c r="S70" s="5"/>
      <c r="T70" s="5">
        <f t="shared" si="48"/>
        <v>0</v>
      </c>
      <c r="U70" s="7">
        <f t="shared" si="65"/>
        <v>737717</v>
      </c>
      <c r="V70" s="7"/>
      <c r="W70" s="44"/>
      <c r="X70" s="7">
        <f t="shared" si="66"/>
        <v>737717</v>
      </c>
    </row>
    <row r="71" spans="1:27" ht="17.25" customHeight="1" x14ac:dyDescent="0.25">
      <c r="A71" s="90"/>
      <c r="B71" s="4">
        <v>21</v>
      </c>
      <c r="C71" s="11" t="s">
        <v>92</v>
      </c>
      <c r="D71" s="6" t="s">
        <v>27</v>
      </c>
      <c r="E71" s="5">
        <v>3500000</v>
      </c>
      <c r="F71" s="5">
        <v>11</v>
      </c>
      <c r="G71" s="5">
        <f>E71/30*F71</f>
        <v>1283333.3333333335</v>
      </c>
      <c r="H71" s="5"/>
      <c r="I71" s="5"/>
      <c r="J71" s="5">
        <f>+E71-G71</f>
        <v>2216666.6666666665</v>
      </c>
      <c r="K71" s="5">
        <f t="shared" si="33"/>
        <v>3500000</v>
      </c>
      <c r="L71" s="5">
        <v>140000</v>
      </c>
      <c r="M71" s="5">
        <v>175000</v>
      </c>
      <c r="N71" s="5"/>
      <c r="O71" s="5"/>
      <c r="P71" s="5">
        <v>0</v>
      </c>
      <c r="Q71" s="5"/>
      <c r="R71" s="5"/>
      <c r="S71" s="5">
        <v>322019</v>
      </c>
      <c r="T71" s="5">
        <f t="shared" si="48"/>
        <v>637019</v>
      </c>
      <c r="U71" s="7">
        <f t="shared" si="65"/>
        <v>2862981</v>
      </c>
      <c r="V71" s="7"/>
      <c r="W71" s="44"/>
      <c r="X71" s="7">
        <f t="shared" si="66"/>
        <v>2862981</v>
      </c>
    </row>
    <row r="72" spans="1:27" ht="17.25" customHeight="1" x14ac:dyDescent="0.25">
      <c r="A72" s="90"/>
      <c r="B72" s="4">
        <v>22</v>
      </c>
      <c r="C72" s="11" t="s">
        <v>93</v>
      </c>
      <c r="D72" s="6" t="s">
        <v>27</v>
      </c>
      <c r="E72" s="5">
        <v>1200000</v>
      </c>
      <c r="F72" s="5">
        <v>30</v>
      </c>
      <c r="G72" s="5">
        <f>+E72/30*F72</f>
        <v>1200000</v>
      </c>
      <c r="H72" s="5">
        <f>+(83140/30)*F72</f>
        <v>83140</v>
      </c>
      <c r="I72" s="5"/>
      <c r="J72" s="5"/>
      <c r="K72" s="5">
        <f t="shared" ref="K72:K76" si="67">SUM(G72:I72)+J72</f>
        <v>1283140</v>
      </c>
      <c r="L72" s="5">
        <f>+G72*4%</f>
        <v>48000</v>
      </c>
      <c r="M72" s="5">
        <f>+G72*4%</f>
        <v>48000</v>
      </c>
      <c r="N72" s="5"/>
      <c r="O72" s="5"/>
      <c r="P72" s="5"/>
      <c r="Q72" s="5"/>
      <c r="R72" s="5"/>
      <c r="S72" s="5"/>
      <c r="T72" s="5">
        <f t="shared" ref="T72:T76" si="68">SUM(L72:S72)</f>
        <v>96000</v>
      </c>
      <c r="U72" s="7">
        <f t="shared" si="65"/>
        <v>1187140</v>
      </c>
      <c r="V72" s="7"/>
      <c r="W72" s="44"/>
      <c r="X72" s="7">
        <f t="shared" si="66"/>
        <v>1187140</v>
      </c>
    </row>
    <row r="73" spans="1:27" ht="17.25" customHeight="1" x14ac:dyDescent="0.25">
      <c r="A73" s="90"/>
      <c r="B73" s="4">
        <v>23</v>
      </c>
      <c r="C73" s="11" t="s">
        <v>94</v>
      </c>
      <c r="D73" s="6"/>
      <c r="E73" s="5">
        <v>1030410</v>
      </c>
      <c r="F73" s="5">
        <v>30</v>
      </c>
      <c r="G73" s="5">
        <f>+E73/30*F73</f>
        <v>1030410</v>
      </c>
      <c r="H73" s="5">
        <f>+(83140/30)*F73</f>
        <v>83140</v>
      </c>
      <c r="I73" s="5"/>
      <c r="J73" s="5"/>
      <c r="K73" s="5">
        <f t="shared" ref="K73" si="69">SUM(G73:I73)+J73</f>
        <v>1113550</v>
      </c>
      <c r="L73" s="5">
        <f>+G73*4%</f>
        <v>41216.400000000001</v>
      </c>
      <c r="M73" s="5">
        <f>+G73*4%</f>
        <v>41216.400000000001</v>
      </c>
      <c r="N73" s="5"/>
      <c r="O73" s="5"/>
      <c r="P73" s="5"/>
      <c r="Q73" s="5"/>
      <c r="R73" s="5"/>
      <c r="S73" s="5"/>
      <c r="T73" s="5">
        <f t="shared" si="68"/>
        <v>82432.800000000003</v>
      </c>
      <c r="U73" s="7">
        <f t="shared" si="65"/>
        <v>1031117.2</v>
      </c>
      <c r="V73" s="7"/>
      <c r="W73" s="44"/>
      <c r="X73" s="7">
        <f t="shared" si="66"/>
        <v>1031117.2</v>
      </c>
    </row>
    <row r="74" spans="1:27" x14ac:dyDescent="0.25">
      <c r="A74" s="90"/>
      <c r="B74" s="4">
        <v>24</v>
      </c>
      <c r="C74" s="3" t="s">
        <v>95</v>
      </c>
      <c r="D74" s="4" t="s">
        <v>27</v>
      </c>
      <c r="E74" s="5">
        <v>3250000</v>
      </c>
      <c r="F74" s="5">
        <v>30</v>
      </c>
      <c r="G74" s="5">
        <f t="shared" ref="G74:G75" si="70">+E74/30*F74</f>
        <v>3250000</v>
      </c>
      <c r="H74" s="5"/>
      <c r="I74" s="5"/>
      <c r="J74" s="5"/>
      <c r="K74" s="5">
        <f t="shared" ref="K74:K75" si="71">SUM(G74:I74)+J74</f>
        <v>3250000</v>
      </c>
      <c r="L74" s="5">
        <f>+G74*4%</f>
        <v>130000</v>
      </c>
      <c r="M74" s="5">
        <f>+G74*5%</f>
        <v>162500</v>
      </c>
      <c r="N74" s="5"/>
      <c r="O74" s="5"/>
      <c r="P74" s="5"/>
      <c r="Q74" s="5"/>
      <c r="R74" s="5"/>
      <c r="S74" s="5"/>
      <c r="T74" s="5">
        <f t="shared" ref="T74:T75" si="72">SUM(L74:S74)</f>
        <v>292500</v>
      </c>
      <c r="U74" s="7">
        <f t="shared" ref="U74:U75" si="73">+K74-T74</f>
        <v>2957500</v>
      </c>
      <c r="V74" s="7"/>
      <c r="W74" s="44"/>
      <c r="X74" s="7">
        <f t="shared" si="66"/>
        <v>2957500</v>
      </c>
    </row>
    <row r="75" spans="1:27" x14ac:dyDescent="0.25">
      <c r="A75" s="90"/>
      <c r="B75" s="4">
        <v>25</v>
      </c>
      <c r="C75" s="3" t="s">
        <v>96</v>
      </c>
      <c r="D75" s="4"/>
      <c r="E75" s="5">
        <v>4000000</v>
      </c>
      <c r="F75" s="5">
        <v>30</v>
      </c>
      <c r="G75" s="5">
        <f t="shared" si="70"/>
        <v>4000000.0000000005</v>
      </c>
      <c r="H75" s="5"/>
      <c r="I75" s="5"/>
      <c r="J75" s="5"/>
      <c r="K75" s="5">
        <f t="shared" si="71"/>
        <v>4000000.0000000005</v>
      </c>
      <c r="L75" s="5">
        <f>+G75*4%</f>
        <v>160000.00000000003</v>
      </c>
      <c r="M75" s="5">
        <f>+G75*5%</f>
        <v>200000.00000000003</v>
      </c>
      <c r="N75" s="5"/>
      <c r="O75" s="5"/>
      <c r="P75" s="5"/>
      <c r="Q75" s="5"/>
      <c r="R75" s="5"/>
      <c r="S75" s="5"/>
      <c r="T75" s="5">
        <f t="shared" si="72"/>
        <v>360000.00000000006</v>
      </c>
      <c r="U75" s="7">
        <f t="shared" si="73"/>
        <v>3640000.0000000005</v>
      </c>
      <c r="V75" s="7"/>
      <c r="W75" s="44"/>
      <c r="X75" s="7">
        <f t="shared" si="66"/>
        <v>3640000.0000000005</v>
      </c>
    </row>
    <row r="76" spans="1:27" ht="17.25" customHeight="1" x14ac:dyDescent="0.25">
      <c r="A76" s="90"/>
      <c r="B76" s="4">
        <v>26</v>
      </c>
      <c r="C76" s="11" t="s">
        <v>97</v>
      </c>
      <c r="D76" s="6" t="s">
        <v>27</v>
      </c>
      <c r="E76" s="5">
        <v>900000</v>
      </c>
      <c r="F76" s="5">
        <v>30</v>
      </c>
      <c r="G76" s="5">
        <f>E76/30*F76</f>
        <v>900000</v>
      </c>
      <c r="H76" s="5"/>
      <c r="I76" s="5"/>
      <c r="J76" s="5"/>
      <c r="K76" s="5">
        <f t="shared" si="67"/>
        <v>900000</v>
      </c>
      <c r="L76" s="5">
        <v>36000</v>
      </c>
      <c r="M76" s="5">
        <v>36000</v>
      </c>
      <c r="N76" s="5"/>
      <c r="O76" s="5"/>
      <c r="P76" s="5"/>
      <c r="Q76" s="5"/>
      <c r="R76" s="5"/>
      <c r="S76" s="5"/>
      <c r="T76" s="5">
        <f t="shared" si="68"/>
        <v>72000</v>
      </c>
      <c r="U76" s="7">
        <f>K76-T76</f>
        <v>828000</v>
      </c>
      <c r="V76" s="7"/>
      <c r="W76" s="44"/>
      <c r="X76" s="7">
        <f t="shared" si="66"/>
        <v>828000</v>
      </c>
    </row>
    <row r="77" spans="1:27" ht="15.75" customHeight="1" x14ac:dyDescent="0.25">
      <c r="A77" s="90"/>
      <c r="B77" s="4">
        <v>27</v>
      </c>
      <c r="C77" s="11" t="s">
        <v>98</v>
      </c>
      <c r="D77" s="6" t="s">
        <v>27</v>
      </c>
      <c r="E77" s="5">
        <v>2000000</v>
      </c>
      <c r="F77" s="5">
        <v>30</v>
      </c>
      <c r="G77" s="5">
        <f>(E77/30*F77)</f>
        <v>2000000.0000000002</v>
      </c>
      <c r="H77" s="5"/>
      <c r="I77" s="5"/>
      <c r="J77" s="5">
        <f>+E77-G77</f>
        <v>0</v>
      </c>
      <c r="K77" s="5">
        <f t="shared" si="33"/>
        <v>2000000.0000000002</v>
      </c>
      <c r="L77" s="5">
        <v>80000</v>
      </c>
      <c r="M77" s="5">
        <v>80000</v>
      </c>
      <c r="N77" s="5"/>
      <c r="O77" s="5"/>
      <c r="P77" s="5">
        <v>0</v>
      </c>
      <c r="Q77" s="5"/>
      <c r="R77" s="5"/>
      <c r="S77" s="5">
        <v>254624</v>
      </c>
      <c r="T77" s="5">
        <f t="shared" si="48"/>
        <v>414624</v>
      </c>
      <c r="U77" s="7">
        <f t="shared" si="65"/>
        <v>1585376.0000000002</v>
      </c>
      <c r="V77" s="7"/>
      <c r="W77" s="44"/>
      <c r="X77" s="7">
        <f t="shared" si="66"/>
        <v>1585376.0000000002</v>
      </c>
      <c r="AA77" s="45">
        <f>1196000+644000</f>
        <v>1840000</v>
      </c>
    </row>
    <row r="78" spans="1:27" ht="15.75" customHeight="1" x14ac:dyDescent="0.25">
      <c r="A78" s="90"/>
      <c r="B78" s="4">
        <v>28</v>
      </c>
      <c r="C78" s="11" t="s">
        <v>99</v>
      </c>
      <c r="D78" s="6" t="s">
        <v>27</v>
      </c>
      <c r="E78" s="5">
        <v>2000000</v>
      </c>
      <c r="F78" s="5">
        <v>30</v>
      </c>
      <c r="G78" s="5">
        <f>(E78/30*F78)</f>
        <v>2000000.0000000002</v>
      </c>
      <c r="H78" s="5"/>
      <c r="I78" s="5"/>
      <c r="J78" s="5"/>
      <c r="K78" s="5">
        <f t="shared" ref="K78" si="74">SUM(G78:I78)+J78</f>
        <v>2000000.0000000002</v>
      </c>
      <c r="L78" s="5">
        <v>80000</v>
      </c>
      <c r="M78" s="5">
        <v>80000</v>
      </c>
      <c r="N78" s="5"/>
      <c r="O78" s="5"/>
      <c r="P78" s="5">
        <v>0</v>
      </c>
      <c r="Q78" s="5"/>
      <c r="R78" s="5"/>
      <c r="S78" s="5"/>
      <c r="T78" s="5">
        <f t="shared" ref="T78" si="75">SUM(L78:S78)</f>
        <v>160000</v>
      </c>
      <c r="U78" s="7">
        <f t="shared" si="65"/>
        <v>1840000.0000000002</v>
      </c>
      <c r="V78" s="7"/>
      <c r="W78" s="44"/>
      <c r="X78" s="7">
        <f t="shared" si="66"/>
        <v>1840000.0000000002</v>
      </c>
    </row>
    <row r="79" spans="1:27" x14ac:dyDescent="0.25">
      <c r="A79" s="90"/>
      <c r="B79" s="4">
        <v>29</v>
      </c>
      <c r="C79" s="3" t="s">
        <v>101</v>
      </c>
      <c r="D79" s="4" t="s">
        <v>27</v>
      </c>
      <c r="E79" s="5">
        <v>737717</v>
      </c>
      <c r="F79" s="5">
        <v>30</v>
      </c>
      <c r="G79" s="5">
        <f>(E79/30*F79)</f>
        <v>737717</v>
      </c>
      <c r="H79" s="5"/>
      <c r="I79" s="5"/>
      <c r="J79" s="5"/>
      <c r="K79" s="5">
        <f t="shared" si="33"/>
        <v>737717</v>
      </c>
      <c r="L79" s="5"/>
      <c r="M79" s="5"/>
      <c r="N79" s="5"/>
      <c r="O79" s="5"/>
      <c r="P79" s="5"/>
      <c r="Q79" s="5"/>
      <c r="R79" s="5"/>
      <c r="S79" s="5"/>
      <c r="T79" s="5">
        <f t="shared" si="48"/>
        <v>0</v>
      </c>
      <c r="U79" s="7">
        <f t="shared" si="65"/>
        <v>737717</v>
      </c>
      <c r="V79" s="7"/>
      <c r="W79" s="44"/>
      <c r="X79" s="7">
        <f t="shared" si="66"/>
        <v>737717</v>
      </c>
      <c r="AA79" s="45">
        <f>1840000-1196000</f>
        <v>644000</v>
      </c>
    </row>
    <row r="80" spans="1:27" x14ac:dyDescent="0.25">
      <c r="A80" s="90"/>
      <c r="B80" s="4">
        <v>30</v>
      </c>
      <c r="C80" s="3" t="s">
        <v>102</v>
      </c>
      <c r="D80" s="4" t="s">
        <v>27</v>
      </c>
      <c r="E80" s="5">
        <v>1800000</v>
      </c>
      <c r="F80" s="5">
        <v>29</v>
      </c>
      <c r="G80" s="5">
        <f>+E80/30*F80</f>
        <v>1740000</v>
      </c>
      <c r="H80" s="5"/>
      <c r="I80" s="5">
        <v>500000</v>
      </c>
      <c r="J80" s="5">
        <f>+E80-G80</f>
        <v>60000</v>
      </c>
      <c r="K80" s="5">
        <f t="shared" si="33"/>
        <v>2300000</v>
      </c>
      <c r="L80" s="5">
        <f>+E80*4%</f>
        <v>72000</v>
      </c>
      <c r="M80" s="5">
        <f>+E80*4%</f>
        <v>72000</v>
      </c>
      <c r="N80" s="5"/>
      <c r="O80" s="5"/>
      <c r="P80" s="5">
        <v>0</v>
      </c>
      <c r="Q80" s="5"/>
      <c r="R80" s="5"/>
      <c r="S80" s="5"/>
      <c r="T80" s="5">
        <f t="shared" si="48"/>
        <v>144000</v>
      </c>
      <c r="U80" s="7">
        <f>K80-T80</f>
        <v>2156000</v>
      </c>
      <c r="V80" s="7"/>
      <c r="W80" s="44"/>
      <c r="X80" s="7">
        <f>U80+V80-W80</f>
        <v>2156000</v>
      </c>
    </row>
    <row r="81" spans="1:25" ht="20.25" customHeight="1" x14ac:dyDescent="0.25">
      <c r="A81" s="90"/>
      <c r="B81" s="4">
        <v>31</v>
      </c>
      <c r="C81" s="11" t="s">
        <v>103</v>
      </c>
      <c r="D81" s="6" t="s">
        <v>27</v>
      </c>
      <c r="E81" s="5">
        <v>3500000</v>
      </c>
      <c r="F81" s="5">
        <v>30</v>
      </c>
      <c r="G81" s="5">
        <f t="shared" ref="G81" si="76">+E81/30*F81</f>
        <v>3500000</v>
      </c>
      <c r="H81" s="5"/>
      <c r="I81" s="5"/>
      <c r="J81" s="5">
        <f>+E81-G81</f>
        <v>0</v>
      </c>
      <c r="K81" s="5">
        <f t="shared" si="33"/>
        <v>3500000</v>
      </c>
      <c r="L81" s="5">
        <v>140000</v>
      </c>
      <c r="M81" s="5">
        <v>175000</v>
      </c>
      <c r="N81" s="5"/>
      <c r="O81" s="5"/>
      <c r="P81" s="5">
        <v>0</v>
      </c>
      <c r="Q81" s="5"/>
      <c r="R81" s="5"/>
      <c r="S81" s="5">
        <v>996534</v>
      </c>
      <c r="T81" s="5">
        <f t="shared" si="48"/>
        <v>1311534</v>
      </c>
      <c r="U81" s="7">
        <f t="shared" ref="U81:U89" si="77">+K81-T81</f>
        <v>2188466</v>
      </c>
      <c r="V81" s="7"/>
      <c r="W81" s="44"/>
      <c r="X81" s="7">
        <f t="shared" ref="X81" si="78">U81+V81-W81</f>
        <v>2188466</v>
      </c>
    </row>
    <row r="82" spans="1:25" ht="18" customHeight="1" x14ac:dyDescent="0.25">
      <c r="A82" s="90"/>
      <c r="B82" s="4">
        <v>32</v>
      </c>
      <c r="C82" s="11" t="s">
        <v>104</v>
      </c>
      <c r="D82" s="6" t="s">
        <v>27</v>
      </c>
      <c r="E82" s="5">
        <v>2000000</v>
      </c>
      <c r="F82" s="5">
        <v>30</v>
      </c>
      <c r="G82" s="5">
        <f>+E82/30*F82</f>
        <v>2000000.0000000002</v>
      </c>
      <c r="H82" s="5"/>
      <c r="I82" s="5"/>
      <c r="J82" s="5">
        <f>+E82-G82</f>
        <v>0</v>
      </c>
      <c r="K82" s="5">
        <f t="shared" si="33"/>
        <v>2000000.0000000002</v>
      </c>
      <c r="L82" s="5">
        <v>80000</v>
      </c>
      <c r="M82" s="5">
        <v>80000</v>
      </c>
      <c r="N82" s="5"/>
      <c r="O82" s="5"/>
      <c r="P82" s="5">
        <v>0</v>
      </c>
      <c r="Q82" s="5"/>
      <c r="R82" s="5"/>
      <c r="S82" s="5"/>
      <c r="T82" s="5">
        <f t="shared" si="48"/>
        <v>160000</v>
      </c>
      <c r="U82" s="7">
        <f t="shared" si="77"/>
        <v>1840000.0000000002</v>
      </c>
      <c r="V82" s="7"/>
      <c r="W82" s="44"/>
      <c r="X82" s="7">
        <f t="shared" si="66"/>
        <v>1840000.0000000002</v>
      </c>
    </row>
    <row r="83" spans="1:25" x14ac:dyDescent="0.25">
      <c r="A83" s="90"/>
      <c r="B83" s="4">
        <v>33</v>
      </c>
      <c r="C83" s="11" t="s">
        <v>105</v>
      </c>
      <c r="D83" s="6" t="s">
        <v>27</v>
      </c>
      <c r="E83" s="5">
        <v>4000000</v>
      </c>
      <c r="F83" s="5">
        <v>30</v>
      </c>
      <c r="G83" s="5">
        <f t="shared" ref="G83:G92" si="79">+E83/30*F83</f>
        <v>4000000.0000000005</v>
      </c>
      <c r="H83" s="5"/>
      <c r="I83" s="5">
        <v>50000</v>
      </c>
      <c r="J83" s="5"/>
      <c r="K83" s="5">
        <f t="shared" si="33"/>
        <v>4050000.0000000005</v>
      </c>
      <c r="L83" s="5">
        <v>160000</v>
      </c>
      <c r="M83" s="5">
        <v>200000</v>
      </c>
      <c r="N83" s="5"/>
      <c r="O83" s="5"/>
      <c r="P83" s="5">
        <v>3000</v>
      </c>
      <c r="Q83" s="5"/>
      <c r="R83" s="5"/>
      <c r="S83" s="5"/>
      <c r="T83" s="5">
        <f t="shared" si="48"/>
        <v>363000</v>
      </c>
      <c r="U83" s="7">
        <f t="shared" si="77"/>
        <v>3687000.0000000005</v>
      </c>
      <c r="V83" s="7"/>
      <c r="W83" s="44"/>
      <c r="X83" s="7">
        <f t="shared" si="66"/>
        <v>3687000.0000000005</v>
      </c>
      <c r="Y83" s="45" t="s">
        <v>106</v>
      </c>
    </row>
    <row r="84" spans="1:25" x14ac:dyDescent="0.25">
      <c r="A84" s="90"/>
      <c r="B84" s="4">
        <v>34</v>
      </c>
      <c r="C84" s="11" t="s">
        <v>107</v>
      </c>
      <c r="D84" s="6" t="s">
        <v>27</v>
      </c>
      <c r="E84" s="5">
        <v>900000</v>
      </c>
      <c r="F84" s="5">
        <v>30</v>
      </c>
      <c r="G84" s="5">
        <f>+E84/30*F84</f>
        <v>900000</v>
      </c>
      <c r="H84" s="5">
        <f>+(83140/30)*F84</f>
        <v>83140</v>
      </c>
      <c r="I84" s="5"/>
      <c r="J84" s="5"/>
      <c r="K84" s="5">
        <f t="shared" ref="K84" si="80">SUM(G84:I84)+J84</f>
        <v>983140</v>
      </c>
      <c r="L84" s="5">
        <f>+G84*4%</f>
        <v>36000</v>
      </c>
      <c r="M84" s="5">
        <f>+G84*4%</f>
        <v>36000</v>
      </c>
      <c r="N84" s="5"/>
      <c r="O84" s="5"/>
      <c r="P84" s="5">
        <v>0</v>
      </c>
      <c r="Q84" s="5"/>
      <c r="R84" s="5"/>
      <c r="S84" s="5"/>
      <c r="T84" s="5">
        <f t="shared" ref="T84" si="81">SUM(L84:S84)</f>
        <v>72000</v>
      </c>
      <c r="U84" s="7">
        <f t="shared" si="77"/>
        <v>911140</v>
      </c>
      <c r="V84" s="7"/>
      <c r="W84" s="44"/>
      <c r="X84" s="7">
        <f t="shared" si="66"/>
        <v>911140</v>
      </c>
      <c r="Y84" s="45" t="s">
        <v>106</v>
      </c>
    </row>
    <row r="85" spans="1:25" x14ac:dyDescent="0.25">
      <c r="A85" s="90"/>
      <c r="B85" s="4">
        <v>35</v>
      </c>
      <c r="C85" s="11" t="s">
        <v>108</v>
      </c>
      <c r="D85" s="6" t="s">
        <v>27</v>
      </c>
      <c r="E85" s="5">
        <v>3000000</v>
      </c>
      <c r="F85" s="5">
        <v>30</v>
      </c>
      <c r="G85" s="5">
        <f t="shared" si="79"/>
        <v>3000000</v>
      </c>
      <c r="H85" s="5"/>
      <c r="I85" s="5"/>
      <c r="J85" s="5"/>
      <c r="K85" s="5">
        <f t="shared" si="33"/>
        <v>3000000</v>
      </c>
      <c r="L85" s="5">
        <f>+E85*4%</f>
        <v>120000</v>
      </c>
      <c r="M85" s="5">
        <f>+E85*5%</f>
        <v>150000</v>
      </c>
      <c r="N85" s="5"/>
      <c r="O85" s="5"/>
      <c r="P85" s="17">
        <v>0</v>
      </c>
      <c r="Q85" s="5"/>
      <c r="R85" s="5"/>
      <c r="S85" s="5">
        <v>586000</v>
      </c>
      <c r="T85" s="5">
        <f t="shared" si="48"/>
        <v>856000</v>
      </c>
      <c r="U85" s="7">
        <f t="shared" si="77"/>
        <v>2144000</v>
      </c>
      <c r="V85" s="7"/>
      <c r="W85" s="44"/>
      <c r="X85" s="7">
        <f t="shared" si="66"/>
        <v>2144000</v>
      </c>
    </row>
    <row r="86" spans="1:25" x14ac:dyDescent="0.25">
      <c r="A86" s="90"/>
      <c r="B86" s="4">
        <v>36</v>
      </c>
      <c r="C86" s="11" t="s">
        <v>109</v>
      </c>
      <c r="D86" s="6"/>
      <c r="E86" s="5">
        <v>4500000</v>
      </c>
      <c r="F86" s="5">
        <v>30</v>
      </c>
      <c r="G86" s="5">
        <f t="shared" si="79"/>
        <v>4500000</v>
      </c>
      <c r="H86" s="5"/>
      <c r="I86" s="5"/>
      <c r="J86" s="5"/>
      <c r="K86" s="5">
        <f t="shared" ref="K86" si="82">SUM(G86:I86)+J86</f>
        <v>4500000</v>
      </c>
      <c r="L86" s="5">
        <f>+G86*4%</f>
        <v>180000</v>
      </c>
      <c r="M86" s="5">
        <f>+G86*5%</f>
        <v>225000</v>
      </c>
      <c r="N86" s="5"/>
      <c r="O86" s="5"/>
      <c r="P86" s="17">
        <v>72000</v>
      </c>
      <c r="Q86" s="5"/>
      <c r="R86" s="5"/>
      <c r="S86" s="5"/>
      <c r="T86" s="5">
        <f t="shared" ref="T86:T87" si="83">SUM(L86:S86)</f>
        <v>477000</v>
      </c>
      <c r="U86" s="7">
        <f t="shared" si="77"/>
        <v>4023000</v>
      </c>
      <c r="V86" s="7"/>
      <c r="W86" s="44"/>
      <c r="X86" s="7">
        <f t="shared" si="66"/>
        <v>4023000</v>
      </c>
    </row>
    <row r="87" spans="1:25" ht="24" x14ac:dyDescent="0.25">
      <c r="A87" s="90"/>
      <c r="B87" s="4">
        <v>37</v>
      </c>
      <c r="C87" s="11" t="s">
        <v>110</v>
      </c>
      <c r="D87" s="6" t="s">
        <v>27</v>
      </c>
      <c r="E87" s="5">
        <v>900000</v>
      </c>
      <c r="F87" s="5">
        <v>30</v>
      </c>
      <c r="G87" s="5">
        <f>+E87/30*F87</f>
        <v>900000</v>
      </c>
      <c r="H87" s="5">
        <f>+(83140/30)*F87</f>
        <v>83140</v>
      </c>
      <c r="I87" s="5"/>
      <c r="J87" s="5"/>
      <c r="K87" s="5">
        <f t="shared" ref="K87" si="84">SUM(G87:I87)+J87</f>
        <v>983140</v>
      </c>
      <c r="L87" s="5">
        <f>+G87*4%</f>
        <v>36000</v>
      </c>
      <c r="M87" s="5">
        <f>+G87*4%</f>
        <v>36000</v>
      </c>
      <c r="N87" s="5"/>
      <c r="O87" s="5"/>
      <c r="P87" s="17">
        <v>0</v>
      </c>
      <c r="Q87" s="5"/>
      <c r="R87" s="5"/>
      <c r="S87" s="5"/>
      <c r="T87" s="5">
        <f t="shared" si="83"/>
        <v>72000</v>
      </c>
      <c r="U87" s="7">
        <f t="shared" si="77"/>
        <v>911140</v>
      </c>
      <c r="V87" s="7"/>
      <c r="W87" s="44"/>
      <c r="X87" s="7">
        <f t="shared" si="66"/>
        <v>911140</v>
      </c>
    </row>
    <row r="88" spans="1:25" x14ac:dyDescent="0.25">
      <c r="A88" s="90"/>
      <c r="B88" s="4">
        <v>38</v>
      </c>
      <c r="C88" s="11" t="s">
        <v>111</v>
      </c>
      <c r="D88" s="6" t="s">
        <v>27</v>
      </c>
      <c r="E88" s="5">
        <v>2500000</v>
      </c>
      <c r="F88" s="5">
        <v>30</v>
      </c>
      <c r="G88" s="5">
        <f>+E88/30*F88</f>
        <v>2500000</v>
      </c>
      <c r="H88" s="5"/>
      <c r="I88" s="5"/>
      <c r="J88" s="5"/>
      <c r="K88" s="5">
        <f t="shared" ref="K88:K115" si="85">SUM(G88:I88)+J88</f>
        <v>2500000</v>
      </c>
      <c r="L88" s="5">
        <v>100000</v>
      </c>
      <c r="M88" s="5">
        <v>100000</v>
      </c>
      <c r="N88" s="5"/>
      <c r="O88" s="5"/>
      <c r="P88" s="5">
        <v>0</v>
      </c>
      <c r="Q88" s="5"/>
      <c r="R88" s="5"/>
      <c r="S88" s="5">
        <v>257196</v>
      </c>
      <c r="T88" s="5">
        <f t="shared" si="48"/>
        <v>457196</v>
      </c>
      <c r="U88" s="7">
        <f t="shared" si="77"/>
        <v>2042804</v>
      </c>
      <c r="V88" s="7"/>
      <c r="W88" s="44"/>
      <c r="X88" s="7">
        <f t="shared" si="66"/>
        <v>2042804</v>
      </c>
    </row>
    <row r="89" spans="1:25" x14ac:dyDescent="0.25">
      <c r="A89" s="90"/>
      <c r="B89" s="4">
        <v>39</v>
      </c>
      <c r="C89" s="11" t="s">
        <v>112</v>
      </c>
      <c r="D89" s="6" t="s">
        <v>27</v>
      </c>
      <c r="E89" s="5">
        <v>4500000</v>
      </c>
      <c r="F89" s="5">
        <v>30</v>
      </c>
      <c r="G89" s="5">
        <f>+E89/30*F89</f>
        <v>4500000</v>
      </c>
      <c r="H89" s="5"/>
      <c r="I89" s="5"/>
      <c r="J89" s="5"/>
      <c r="K89" s="5">
        <f t="shared" si="85"/>
        <v>4500000</v>
      </c>
      <c r="L89" s="5">
        <v>180000</v>
      </c>
      <c r="M89" s="5">
        <v>225000</v>
      </c>
      <c r="N89" s="5"/>
      <c r="O89" s="5"/>
      <c r="P89" s="5">
        <v>72000</v>
      </c>
      <c r="Q89" s="5"/>
      <c r="R89" s="5"/>
      <c r="S89" s="5"/>
      <c r="T89" s="5">
        <f t="shared" ref="T89" si="86">SUM(L89:S89)</f>
        <v>477000</v>
      </c>
      <c r="U89" s="7">
        <f t="shared" si="77"/>
        <v>4023000</v>
      </c>
      <c r="V89" s="7"/>
      <c r="W89" s="44"/>
      <c r="X89" s="7">
        <f t="shared" si="66"/>
        <v>4023000</v>
      </c>
    </row>
    <row r="90" spans="1:25" x14ac:dyDescent="0.25">
      <c r="A90" s="90"/>
      <c r="B90" s="4">
        <v>40</v>
      </c>
      <c r="C90" s="11" t="s">
        <v>113</v>
      </c>
      <c r="D90" s="6" t="s">
        <v>27</v>
      </c>
      <c r="E90" s="5">
        <v>4500000</v>
      </c>
      <c r="F90" s="5">
        <v>30</v>
      </c>
      <c r="G90" s="5">
        <f>+E90/30*F90</f>
        <v>4500000</v>
      </c>
      <c r="H90" s="5"/>
      <c r="I90" s="5"/>
      <c r="J90" s="5"/>
      <c r="K90" s="5">
        <f t="shared" si="85"/>
        <v>4500000</v>
      </c>
      <c r="L90" s="5">
        <v>180000</v>
      </c>
      <c r="M90" s="5">
        <v>225000</v>
      </c>
      <c r="N90" s="5"/>
      <c r="O90" s="5"/>
      <c r="P90" s="5">
        <v>73073</v>
      </c>
      <c r="Q90" s="5"/>
      <c r="R90" s="5"/>
      <c r="S90" s="5"/>
      <c r="T90" s="5">
        <f>SUM(L90:S90)</f>
        <v>478073</v>
      </c>
      <c r="U90" s="7">
        <f t="shared" ref="U90:U96" si="87">K90-T90</f>
        <v>4021927</v>
      </c>
      <c r="V90" s="7"/>
      <c r="W90" s="44"/>
      <c r="X90" s="7">
        <f t="shared" si="66"/>
        <v>4021927</v>
      </c>
    </row>
    <row r="91" spans="1:25" x14ac:dyDescent="0.25">
      <c r="A91" s="90"/>
      <c r="B91" s="4">
        <v>41</v>
      </c>
      <c r="C91" s="11" t="s">
        <v>114</v>
      </c>
      <c r="D91" s="6" t="s">
        <v>27</v>
      </c>
      <c r="E91" s="5">
        <v>2500000</v>
      </c>
      <c r="F91" s="5">
        <v>30</v>
      </c>
      <c r="G91" s="5">
        <f t="shared" ref="G91" si="88">+E91/30*F91</f>
        <v>2500000</v>
      </c>
      <c r="H91" s="5"/>
      <c r="I91" s="5">
        <v>500000</v>
      </c>
      <c r="J91" s="5">
        <f>+E91-G91</f>
        <v>0</v>
      </c>
      <c r="K91" s="5">
        <f t="shared" si="85"/>
        <v>3000000</v>
      </c>
      <c r="L91" s="5">
        <v>100000</v>
      </c>
      <c r="M91" s="5">
        <v>100000</v>
      </c>
      <c r="N91" s="5"/>
      <c r="O91" s="5"/>
      <c r="P91" s="5">
        <v>0</v>
      </c>
      <c r="Q91" s="5"/>
      <c r="R91" s="5"/>
      <c r="S91" s="5"/>
      <c r="T91" s="5">
        <f t="shared" si="48"/>
        <v>200000</v>
      </c>
      <c r="U91" s="7">
        <f t="shared" si="87"/>
        <v>2800000</v>
      </c>
      <c r="V91" s="7"/>
      <c r="W91" s="44"/>
      <c r="X91" s="7">
        <f t="shared" si="66"/>
        <v>2800000</v>
      </c>
    </row>
    <row r="92" spans="1:25" ht="24" x14ac:dyDescent="0.25">
      <c r="A92" s="90"/>
      <c r="B92" s="4">
        <v>42</v>
      </c>
      <c r="C92" s="11" t="s">
        <v>115</v>
      </c>
      <c r="D92" s="6" t="s">
        <v>27</v>
      </c>
      <c r="E92" s="5">
        <v>2548000</v>
      </c>
      <c r="F92" s="5">
        <v>30</v>
      </c>
      <c r="G92" s="5">
        <f t="shared" si="79"/>
        <v>2548000</v>
      </c>
      <c r="H92" s="5"/>
      <c r="I92" s="5"/>
      <c r="J92" s="5">
        <f>+E92-G92</f>
        <v>0</v>
      </c>
      <c r="K92" s="5">
        <f t="shared" si="85"/>
        <v>2548000</v>
      </c>
      <c r="L92" s="5">
        <v>101920</v>
      </c>
      <c r="M92" s="5">
        <v>101920</v>
      </c>
      <c r="N92" s="5"/>
      <c r="O92" s="5"/>
      <c r="P92" s="5">
        <v>0</v>
      </c>
      <c r="Q92" s="5"/>
      <c r="R92" s="5"/>
      <c r="S92" s="5">
        <v>359047</v>
      </c>
      <c r="T92" s="5">
        <f t="shared" si="48"/>
        <v>562887</v>
      </c>
      <c r="U92" s="7">
        <f t="shared" si="87"/>
        <v>1985113</v>
      </c>
      <c r="V92" s="7"/>
      <c r="W92" s="44"/>
      <c r="X92" s="7">
        <f t="shared" si="66"/>
        <v>1985113</v>
      </c>
    </row>
    <row r="93" spans="1:25" x14ac:dyDescent="0.25">
      <c r="A93" s="90"/>
      <c r="B93" s="4">
        <v>43</v>
      </c>
      <c r="C93" s="11" t="s">
        <v>116</v>
      </c>
      <c r="D93" s="6" t="s">
        <v>27</v>
      </c>
      <c r="E93" s="5">
        <v>900000</v>
      </c>
      <c r="F93" s="5">
        <v>30</v>
      </c>
      <c r="G93" s="5">
        <f>+E93/30*F93</f>
        <v>900000</v>
      </c>
      <c r="H93" s="5">
        <f>+(83140/30)*F93</f>
        <v>83140</v>
      </c>
      <c r="I93" s="5"/>
      <c r="J93" s="5"/>
      <c r="K93" s="5">
        <f t="shared" ref="K93" si="89">SUM(G93:I93)+J93</f>
        <v>983140</v>
      </c>
      <c r="L93" s="5">
        <f>+G93*4%</f>
        <v>36000</v>
      </c>
      <c r="M93" s="5">
        <f>+G93*4%</f>
        <v>36000</v>
      </c>
      <c r="N93" s="5"/>
      <c r="O93" s="5"/>
      <c r="P93" s="5"/>
      <c r="Q93" s="5"/>
      <c r="R93" s="5"/>
      <c r="S93" s="5"/>
      <c r="T93" s="5">
        <f t="shared" ref="T93" si="90">SUM(L93:S93)</f>
        <v>72000</v>
      </c>
      <c r="U93" s="7">
        <f t="shared" si="87"/>
        <v>911140</v>
      </c>
      <c r="V93" s="7"/>
      <c r="W93" s="44"/>
      <c r="X93" s="7">
        <f t="shared" si="66"/>
        <v>911140</v>
      </c>
    </row>
    <row r="94" spans="1:25" ht="23.25" customHeight="1" x14ac:dyDescent="0.25">
      <c r="A94" s="90"/>
      <c r="B94" s="4">
        <v>44</v>
      </c>
      <c r="C94" s="3" t="s">
        <v>117</v>
      </c>
      <c r="D94" s="4" t="s">
        <v>27</v>
      </c>
      <c r="E94" s="5">
        <v>737717</v>
      </c>
      <c r="F94" s="5">
        <v>30</v>
      </c>
      <c r="G94" s="5">
        <f>+E94/30*F94</f>
        <v>737717</v>
      </c>
      <c r="H94" s="5">
        <v>83139</v>
      </c>
      <c r="I94" s="5"/>
      <c r="J94" s="5">
        <v>71715</v>
      </c>
      <c r="K94" s="5">
        <f t="shared" si="85"/>
        <v>892571</v>
      </c>
      <c r="L94" s="5">
        <f>+G94*4%</f>
        <v>29508.68</v>
      </c>
      <c r="M94" s="5">
        <f>+G94*4%</f>
        <v>29508.68</v>
      </c>
      <c r="N94" s="5"/>
      <c r="O94" s="5"/>
      <c r="P94" s="5">
        <v>0</v>
      </c>
      <c r="Q94" s="5"/>
      <c r="R94" s="5"/>
      <c r="S94" s="5"/>
      <c r="T94" s="5">
        <f t="shared" si="48"/>
        <v>59017.36</v>
      </c>
      <c r="U94" s="7">
        <f t="shared" si="87"/>
        <v>833553.64</v>
      </c>
      <c r="V94" s="7"/>
      <c r="W94" s="44"/>
      <c r="X94" s="7">
        <f t="shared" si="66"/>
        <v>833553.64</v>
      </c>
    </row>
    <row r="95" spans="1:25" x14ac:dyDescent="0.25">
      <c r="A95" s="90"/>
      <c r="B95" s="4">
        <v>45</v>
      </c>
      <c r="C95" s="3" t="s">
        <v>118</v>
      </c>
      <c r="D95" s="4"/>
      <c r="E95" s="5">
        <v>5000000</v>
      </c>
      <c r="F95" s="5">
        <v>30</v>
      </c>
      <c r="G95" s="5">
        <f>+E95/30*F95</f>
        <v>5000000</v>
      </c>
      <c r="H95" s="5"/>
      <c r="I95" s="5"/>
      <c r="J95" s="5"/>
      <c r="K95" s="5">
        <f t="shared" si="85"/>
        <v>5000000</v>
      </c>
      <c r="L95" s="5">
        <f>+G95*4%</f>
        <v>200000</v>
      </c>
      <c r="M95" s="5">
        <f>+G95*5%</f>
        <v>250000</v>
      </c>
      <c r="N95" s="5"/>
      <c r="O95" s="5"/>
      <c r="P95" s="5">
        <v>102000</v>
      </c>
      <c r="Q95" s="5"/>
      <c r="R95" s="5"/>
      <c r="S95" s="5"/>
      <c r="T95" s="5">
        <f t="shared" ref="T95" si="91">SUM(L95:S95)</f>
        <v>552000</v>
      </c>
      <c r="U95" s="7">
        <f t="shared" si="87"/>
        <v>4448000</v>
      </c>
      <c r="V95" s="7"/>
      <c r="W95" s="44"/>
      <c r="X95" s="7">
        <f t="shared" si="66"/>
        <v>4448000</v>
      </c>
    </row>
    <row r="96" spans="1:25" x14ac:dyDescent="0.25">
      <c r="A96" s="90"/>
      <c r="B96" s="4">
        <v>46</v>
      </c>
      <c r="C96" s="3" t="s">
        <v>119</v>
      </c>
      <c r="D96" s="4" t="s">
        <v>27</v>
      </c>
      <c r="E96" s="5">
        <v>1400000</v>
      </c>
      <c r="F96" s="5">
        <v>30</v>
      </c>
      <c r="G96" s="5">
        <f>+E96/30*F96</f>
        <v>1400000</v>
      </c>
      <c r="H96" s="5">
        <f>+(83140/30)*F96</f>
        <v>83140</v>
      </c>
      <c r="I96" s="5"/>
      <c r="J96" s="5"/>
      <c r="K96" s="5">
        <f t="shared" ref="K96" si="92">SUM(G96:I96)+J96</f>
        <v>1483140</v>
      </c>
      <c r="L96" s="5">
        <f>+G96*4%</f>
        <v>56000</v>
      </c>
      <c r="M96" s="5">
        <f>+G96*4%</f>
        <v>56000</v>
      </c>
      <c r="N96" s="5"/>
      <c r="O96" s="5"/>
      <c r="P96" s="5">
        <v>0</v>
      </c>
      <c r="Q96" s="5"/>
      <c r="R96" s="5"/>
      <c r="S96" s="5"/>
      <c r="T96" s="5">
        <f t="shared" ref="T96" si="93">SUM(L96:S96)</f>
        <v>112000</v>
      </c>
      <c r="U96" s="7">
        <f t="shared" si="87"/>
        <v>1371140</v>
      </c>
      <c r="V96" s="7"/>
      <c r="W96" s="44"/>
      <c r="X96" s="7">
        <f t="shared" si="66"/>
        <v>1371140</v>
      </c>
    </row>
    <row r="97" spans="1:24" x14ac:dyDescent="0.25">
      <c r="A97" s="90"/>
      <c r="B97" s="4">
        <v>47</v>
      </c>
      <c r="C97" s="11" t="s">
        <v>120</v>
      </c>
      <c r="D97" s="6" t="s">
        <v>27</v>
      </c>
      <c r="E97" s="5">
        <v>15400000</v>
      </c>
      <c r="F97" s="5">
        <v>30</v>
      </c>
      <c r="G97" s="5">
        <f t="shared" ref="G97:G107" si="94">+E97/30*F97</f>
        <v>15400000</v>
      </c>
      <c r="H97" s="5"/>
      <c r="I97" s="5">
        <v>600000</v>
      </c>
      <c r="J97" s="5"/>
      <c r="K97" s="5">
        <f t="shared" si="85"/>
        <v>16000000</v>
      </c>
      <c r="L97" s="5">
        <v>616000</v>
      </c>
      <c r="M97" s="5">
        <f>616000+308000</f>
        <v>924000</v>
      </c>
      <c r="N97" s="5">
        <v>102400</v>
      </c>
      <c r="O97" s="5"/>
      <c r="P97" s="5">
        <v>916000</v>
      </c>
      <c r="Q97" s="5">
        <v>5000000</v>
      </c>
      <c r="R97" s="5">
        <v>180180</v>
      </c>
      <c r="S97" s="5">
        <v>2314715</v>
      </c>
      <c r="T97" s="5">
        <f t="shared" si="48"/>
        <v>10053295</v>
      </c>
      <c r="U97" s="7">
        <f>+K97-T97</f>
        <v>5946705</v>
      </c>
      <c r="V97" s="7"/>
      <c r="W97" s="44"/>
      <c r="X97" s="7">
        <f t="shared" si="66"/>
        <v>5946705</v>
      </c>
    </row>
    <row r="98" spans="1:24" x14ac:dyDescent="0.25">
      <c r="A98" s="90"/>
      <c r="B98" s="4">
        <v>48</v>
      </c>
      <c r="C98" s="11" t="s">
        <v>121</v>
      </c>
      <c r="D98" s="6" t="s">
        <v>27</v>
      </c>
      <c r="E98" s="5">
        <v>4500000</v>
      </c>
      <c r="F98" s="5">
        <v>30</v>
      </c>
      <c r="G98" s="5">
        <f t="shared" si="94"/>
        <v>4500000</v>
      </c>
      <c r="H98" s="5"/>
      <c r="I98" s="5"/>
      <c r="J98" s="5"/>
      <c r="K98" s="5">
        <f t="shared" si="85"/>
        <v>4500000</v>
      </c>
      <c r="L98" s="5">
        <f t="shared" ref="L98:L108" si="95">+G98*4%</f>
        <v>180000</v>
      </c>
      <c r="M98" s="5">
        <f>+G98*5%</f>
        <v>225000</v>
      </c>
      <c r="N98" s="5"/>
      <c r="O98" s="5"/>
      <c r="P98" s="5">
        <v>90000</v>
      </c>
      <c r="Q98" s="5"/>
      <c r="R98" s="5"/>
      <c r="S98" s="5"/>
      <c r="T98" s="5">
        <f t="shared" si="48"/>
        <v>495000</v>
      </c>
      <c r="U98" s="7">
        <f>+K98-T98</f>
        <v>4005000</v>
      </c>
      <c r="V98" s="7"/>
      <c r="W98" s="44"/>
      <c r="X98" s="7">
        <f t="shared" si="66"/>
        <v>4005000</v>
      </c>
    </row>
    <row r="99" spans="1:24" x14ac:dyDescent="0.25">
      <c r="A99" s="90"/>
      <c r="B99" s="4">
        <v>49</v>
      </c>
      <c r="C99" s="11" t="s">
        <v>122</v>
      </c>
      <c r="D99" s="6" t="s">
        <v>27</v>
      </c>
      <c r="E99" s="5">
        <v>2000000</v>
      </c>
      <c r="F99" s="5">
        <v>30</v>
      </c>
      <c r="G99" s="5">
        <f t="shared" si="94"/>
        <v>2000000.0000000002</v>
      </c>
      <c r="H99" s="5"/>
      <c r="I99" s="5"/>
      <c r="J99" s="5">
        <f>+E99-G99</f>
        <v>0</v>
      </c>
      <c r="K99" s="5">
        <f t="shared" si="85"/>
        <v>2000000.0000000002</v>
      </c>
      <c r="L99" s="5">
        <f>+G99*4%</f>
        <v>80000.000000000015</v>
      </c>
      <c r="M99" s="5">
        <f>+G99*4%</f>
        <v>80000.000000000015</v>
      </c>
      <c r="N99" s="5"/>
      <c r="O99" s="5"/>
      <c r="P99" s="5">
        <v>0</v>
      </c>
      <c r="Q99" s="5"/>
      <c r="R99" s="5"/>
      <c r="S99" s="5"/>
      <c r="T99" s="5">
        <f t="shared" si="48"/>
        <v>160000.00000000003</v>
      </c>
      <c r="U99" s="7">
        <f>+K99-T99</f>
        <v>1840000.0000000002</v>
      </c>
      <c r="V99" s="7"/>
      <c r="W99" s="44"/>
      <c r="X99" s="7">
        <f t="shared" si="66"/>
        <v>1840000.0000000002</v>
      </c>
    </row>
    <row r="100" spans="1:24" x14ac:dyDescent="0.25">
      <c r="A100" s="90"/>
      <c r="B100" s="4">
        <v>50</v>
      </c>
      <c r="C100" s="3" t="s">
        <v>123</v>
      </c>
      <c r="D100" s="4" t="s">
        <v>27</v>
      </c>
      <c r="E100" s="5">
        <v>2000000</v>
      </c>
      <c r="F100" s="5">
        <v>23</v>
      </c>
      <c r="G100" s="5">
        <f t="shared" si="94"/>
        <v>1533333.3333333335</v>
      </c>
      <c r="H100" s="5"/>
      <c r="I100" s="5">
        <v>160000</v>
      </c>
      <c r="J100" s="5">
        <f>+E100-G100</f>
        <v>466666.66666666651</v>
      </c>
      <c r="K100" s="5">
        <f t="shared" si="85"/>
        <v>2160000</v>
      </c>
      <c r="L100" s="5">
        <f>+E100*4%</f>
        <v>80000</v>
      </c>
      <c r="M100" s="5">
        <v>80000</v>
      </c>
      <c r="N100" s="5"/>
      <c r="O100" s="5"/>
      <c r="P100" s="5">
        <v>0</v>
      </c>
      <c r="Q100" s="5"/>
      <c r="R100" s="5"/>
      <c r="S100" s="5"/>
      <c r="T100" s="5">
        <f t="shared" si="48"/>
        <v>160000</v>
      </c>
      <c r="U100" s="7">
        <f>K100-T100</f>
        <v>2000000</v>
      </c>
      <c r="V100" s="7"/>
      <c r="W100" s="44"/>
      <c r="X100" s="7">
        <f t="shared" si="66"/>
        <v>2000000</v>
      </c>
    </row>
    <row r="101" spans="1:24" x14ac:dyDescent="0.25">
      <c r="A101" s="90"/>
      <c r="B101" s="4">
        <v>51</v>
      </c>
      <c r="C101" s="3" t="s">
        <v>124</v>
      </c>
      <c r="D101" s="4" t="s">
        <v>27</v>
      </c>
      <c r="E101" s="5">
        <v>1600000</v>
      </c>
      <c r="F101" s="5">
        <v>30</v>
      </c>
      <c r="G101" s="5">
        <f t="shared" si="94"/>
        <v>1600000</v>
      </c>
      <c r="H101" s="5"/>
      <c r="I101" s="5"/>
      <c r="J101" s="5">
        <v>200000</v>
      </c>
      <c r="K101" s="5">
        <f t="shared" si="85"/>
        <v>1800000</v>
      </c>
      <c r="L101" s="5">
        <f>+G101*4%</f>
        <v>64000</v>
      </c>
      <c r="M101" s="5">
        <f>+G101*4%</f>
        <v>64000</v>
      </c>
      <c r="N101" s="5"/>
      <c r="O101" s="5"/>
      <c r="P101" s="5"/>
      <c r="Q101" s="5"/>
      <c r="R101" s="5"/>
      <c r="S101" s="5"/>
      <c r="T101" s="5">
        <f>SUM(L101:S101)</f>
        <v>128000</v>
      </c>
      <c r="U101" s="7">
        <f>K101-T101</f>
        <v>1672000</v>
      </c>
      <c r="V101" s="7"/>
      <c r="W101" s="44"/>
      <c r="X101" s="7">
        <f t="shared" si="66"/>
        <v>1672000</v>
      </c>
    </row>
    <row r="102" spans="1:24" x14ac:dyDescent="0.25">
      <c r="A102" s="90"/>
      <c r="B102" s="4">
        <v>52</v>
      </c>
      <c r="C102" s="3" t="s">
        <v>125</v>
      </c>
      <c r="D102" s="4"/>
      <c r="E102" s="5">
        <v>800000</v>
      </c>
      <c r="F102" s="5">
        <v>30</v>
      </c>
      <c r="G102" s="5">
        <f t="shared" si="94"/>
        <v>800000</v>
      </c>
      <c r="H102" s="5"/>
      <c r="I102" s="5"/>
      <c r="J102" s="5"/>
      <c r="K102" s="5">
        <f t="shared" ref="K102:K103" si="96">SUM(G102:I102)+J102</f>
        <v>800000</v>
      </c>
      <c r="L102" s="5">
        <f>+G102*4%</f>
        <v>32000</v>
      </c>
      <c r="M102" s="5">
        <f>+G102*4%</f>
        <v>32000</v>
      </c>
      <c r="N102" s="5"/>
      <c r="O102" s="5"/>
      <c r="P102" s="5"/>
      <c r="Q102" s="5"/>
      <c r="R102" s="5"/>
      <c r="S102" s="5"/>
      <c r="T102" s="5">
        <f>SUM(L102:S102)</f>
        <v>64000</v>
      </c>
      <c r="U102" s="7">
        <f>K102-T102</f>
        <v>736000</v>
      </c>
      <c r="V102" s="7"/>
      <c r="W102" s="44"/>
      <c r="X102" s="7">
        <f t="shared" si="66"/>
        <v>736000</v>
      </c>
    </row>
    <row r="103" spans="1:24" x14ac:dyDescent="0.25">
      <c r="A103" s="90"/>
      <c r="B103" s="4">
        <v>53</v>
      </c>
      <c r="C103" s="3" t="s">
        <v>126</v>
      </c>
      <c r="D103" s="4"/>
      <c r="E103" s="5">
        <v>4500000</v>
      </c>
      <c r="F103" s="5">
        <v>30</v>
      </c>
      <c r="G103" s="5">
        <f t="shared" si="94"/>
        <v>4500000</v>
      </c>
      <c r="H103" s="5"/>
      <c r="I103" s="5"/>
      <c r="J103" s="5"/>
      <c r="K103" s="5">
        <f t="shared" si="96"/>
        <v>4500000</v>
      </c>
      <c r="L103" s="5">
        <f>+G103*4%</f>
        <v>180000</v>
      </c>
      <c r="M103" s="5">
        <f>+G103*5%</f>
        <v>225000</v>
      </c>
      <c r="N103" s="5"/>
      <c r="O103" s="5"/>
      <c r="P103" s="5">
        <v>34000</v>
      </c>
      <c r="Q103" s="5"/>
      <c r="R103" s="5"/>
      <c r="S103" s="5"/>
      <c r="T103" s="5">
        <f>SUM(L103:S103)</f>
        <v>439000</v>
      </c>
      <c r="U103" s="7">
        <f>K103-T103</f>
        <v>4061000</v>
      </c>
      <c r="V103" s="7"/>
      <c r="W103" s="44"/>
      <c r="X103" s="7">
        <f t="shared" si="66"/>
        <v>4061000</v>
      </c>
    </row>
    <row r="104" spans="1:24" ht="24" x14ac:dyDescent="0.25">
      <c r="A104" s="90"/>
      <c r="B104" s="4">
        <v>54</v>
      </c>
      <c r="C104" s="11" t="s">
        <v>128</v>
      </c>
      <c r="D104" s="6" t="s">
        <v>27</v>
      </c>
      <c r="E104" s="5">
        <v>2500000</v>
      </c>
      <c r="F104" s="5">
        <v>30</v>
      </c>
      <c r="G104" s="5">
        <f t="shared" si="94"/>
        <v>2500000</v>
      </c>
      <c r="H104" s="5"/>
      <c r="I104" s="5"/>
      <c r="J104" s="5"/>
      <c r="K104" s="5">
        <f t="shared" si="85"/>
        <v>2500000</v>
      </c>
      <c r="L104" s="5">
        <f t="shared" ref="L104:L106" si="97">+G104*4%</f>
        <v>100000</v>
      </c>
      <c r="M104" s="5">
        <f>+G104*4%</f>
        <v>100000</v>
      </c>
      <c r="N104" s="5"/>
      <c r="O104" s="5"/>
      <c r="P104" s="5"/>
      <c r="Q104" s="5"/>
      <c r="R104" s="5"/>
      <c r="S104" s="5"/>
      <c r="T104" s="5">
        <f t="shared" si="48"/>
        <v>200000</v>
      </c>
      <c r="U104" s="7">
        <f>+K104-T104</f>
        <v>2300000</v>
      </c>
      <c r="V104" s="7"/>
      <c r="W104" s="44"/>
      <c r="X104" s="7">
        <f t="shared" si="66"/>
        <v>2300000</v>
      </c>
    </row>
    <row r="105" spans="1:24" x14ac:dyDescent="0.25">
      <c r="A105" s="90"/>
      <c r="B105" s="4">
        <v>55</v>
      </c>
      <c r="C105" s="11" t="s">
        <v>129</v>
      </c>
      <c r="D105" s="6" t="s">
        <v>27</v>
      </c>
      <c r="E105" s="5">
        <v>3700000</v>
      </c>
      <c r="F105" s="5">
        <v>30</v>
      </c>
      <c r="G105" s="5">
        <f t="shared" si="94"/>
        <v>3700000</v>
      </c>
      <c r="H105" s="5"/>
      <c r="I105" s="5">
        <v>650000</v>
      </c>
      <c r="J105" s="5"/>
      <c r="K105" s="5">
        <f t="shared" ref="K105" si="98">SUM(G105:I105)+J105</f>
        <v>4350000</v>
      </c>
      <c r="L105" s="5">
        <f t="shared" si="97"/>
        <v>148000</v>
      </c>
      <c r="M105" s="5">
        <f>+G105*5%</f>
        <v>185000</v>
      </c>
      <c r="N105" s="5"/>
      <c r="O105" s="5"/>
      <c r="P105" s="5">
        <v>35000</v>
      </c>
      <c r="Q105" s="5"/>
      <c r="R105" s="5"/>
      <c r="S105" s="5"/>
      <c r="T105" s="5">
        <f t="shared" ref="T105" si="99">SUM(L105:S105)</f>
        <v>368000</v>
      </c>
      <c r="U105" s="7">
        <f>+K105-T105</f>
        <v>3982000</v>
      </c>
      <c r="V105" s="7"/>
      <c r="W105" s="44"/>
      <c r="X105" s="7">
        <f t="shared" si="66"/>
        <v>3982000</v>
      </c>
    </row>
    <row r="106" spans="1:24" x14ac:dyDescent="0.25">
      <c r="A106" s="90"/>
      <c r="B106" s="4">
        <v>56</v>
      </c>
      <c r="C106" s="11" t="s">
        <v>130</v>
      </c>
      <c r="D106" s="6" t="s">
        <v>35</v>
      </c>
      <c r="E106" s="5">
        <v>1800000</v>
      </c>
      <c r="F106" s="5">
        <v>30</v>
      </c>
      <c r="G106" s="5">
        <f t="shared" si="94"/>
        <v>1800000</v>
      </c>
      <c r="H106" s="5"/>
      <c r="I106" s="5"/>
      <c r="J106" s="5"/>
      <c r="K106" s="5">
        <f t="shared" si="85"/>
        <v>1800000</v>
      </c>
      <c r="L106" s="5">
        <f t="shared" si="97"/>
        <v>72000</v>
      </c>
      <c r="M106" s="5">
        <f>+G106*4%</f>
        <v>72000</v>
      </c>
      <c r="N106" s="5"/>
      <c r="O106" s="5"/>
      <c r="P106" s="17"/>
      <c r="Q106" s="5"/>
      <c r="R106" s="5"/>
      <c r="S106" s="5"/>
      <c r="T106" s="5">
        <f t="shared" si="48"/>
        <v>144000</v>
      </c>
      <c r="U106" s="7">
        <f>+K106-T106</f>
        <v>1656000</v>
      </c>
      <c r="V106" s="7"/>
      <c r="W106" s="44"/>
      <c r="X106" s="7">
        <f t="shared" si="66"/>
        <v>1656000</v>
      </c>
    </row>
    <row r="107" spans="1:24" x14ac:dyDescent="0.25">
      <c r="A107" s="90"/>
      <c r="B107" s="4">
        <v>57</v>
      </c>
      <c r="C107" s="3" t="s">
        <v>131</v>
      </c>
      <c r="D107" s="4" t="s">
        <v>27</v>
      </c>
      <c r="E107" s="5">
        <v>1600000</v>
      </c>
      <c r="F107" s="5">
        <v>30</v>
      </c>
      <c r="G107" s="5">
        <f t="shared" si="94"/>
        <v>1600000</v>
      </c>
      <c r="H107" s="5"/>
      <c r="I107" s="5"/>
      <c r="J107" s="5">
        <f>+E107-G107</f>
        <v>0</v>
      </c>
      <c r="K107" s="5">
        <f t="shared" si="85"/>
        <v>1600000</v>
      </c>
      <c r="L107" s="5">
        <f>+K107*4%</f>
        <v>64000</v>
      </c>
      <c r="M107" s="5">
        <v>64000</v>
      </c>
      <c r="N107" s="5"/>
      <c r="O107" s="5"/>
      <c r="P107" s="5">
        <v>0</v>
      </c>
      <c r="Q107" s="5"/>
      <c r="R107" s="5"/>
      <c r="S107" s="5">
        <v>249127</v>
      </c>
      <c r="T107" s="5">
        <f t="shared" si="48"/>
        <v>377127</v>
      </c>
      <c r="U107" s="7">
        <f>K107-T107</f>
        <v>1222873</v>
      </c>
      <c r="V107" s="7"/>
      <c r="W107" s="44"/>
      <c r="X107" s="7">
        <f t="shared" si="66"/>
        <v>1222873</v>
      </c>
    </row>
    <row r="108" spans="1:24" ht="12.75" thickBot="1" x14ac:dyDescent="0.3">
      <c r="A108" s="90"/>
      <c r="B108" s="4">
        <v>58</v>
      </c>
      <c r="C108" s="11" t="s">
        <v>132</v>
      </c>
      <c r="D108" s="6" t="s">
        <v>27</v>
      </c>
      <c r="E108" s="5">
        <v>737717</v>
      </c>
      <c r="F108" s="5">
        <v>30</v>
      </c>
      <c r="G108" s="5">
        <f>+E108/30*F108</f>
        <v>737717</v>
      </c>
      <c r="H108" s="5">
        <f t="shared" ref="H108" si="100">+(83140/30)*F108</f>
        <v>83140</v>
      </c>
      <c r="I108" s="5"/>
      <c r="J108" s="22"/>
      <c r="K108" s="5">
        <f t="shared" si="85"/>
        <v>820857</v>
      </c>
      <c r="L108" s="5">
        <f t="shared" si="95"/>
        <v>29508.68</v>
      </c>
      <c r="M108" s="5">
        <v>29509</v>
      </c>
      <c r="N108" s="5"/>
      <c r="O108" s="5"/>
      <c r="P108" s="5">
        <v>0</v>
      </c>
      <c r="Q108" s="5"/>
      <c r="R108" s="5"/>
      <c r="S108" s="5"/>
      <c r="T108" s="5">
        <f t="shared" si="48"/>
        <v>59017.68</v>
      </c>
      <c r="U108" s="7">
        <f t="shared" ref="U108:U114" si="101">+K108-T108</f>
        <v>761839.32</v>
      </c>
      <c r="V108" s="7"/>
      <c r="W108" s="44"/>
      <c r="X108" s="7">
        <f t="shared" si="66"/>
        <v>761839.32</v>
      </c>
    </row>
    <row r="109" spans="1:24" ht="24.75" thickBot="1" x14ac:dyDescent="0.3">
      <c r="A109" s="90"/>
      <c r="B109" s="4">
        <v>59</v>
      </c>
      <c r="C109" s="11" t="s">
        <v>133</v>
      </c>
      <c r="D109" s="6" t="s">
        <v>27</v>
      </c>
      <c r="E109" s="5">
        <v>1200000</v>
      </c>
      <c r="F109" s="5">
        <v>30</v>
      </c>
      <c r="G109" s="5">
        <f>+E109/30*F109</f>
        <v>1200000</v>
      </c>
      <c r="H109" s="5">
        <v>83140</v>
      </c>
      <c r="I109" s="48"/>
      <c r="J109" s="49">
        <f>+E109-G109</f>
        <v>0</v>
      </c>
      <c r="K109" s="50">
        <f t="shared" si="85"/>
        <v>1283140</v>
      </c>
      <c r="L109" s="5">
        <f>+G109*4%</f>
        <v>48000</v>
      </c>
      <c r="M109" s="5">
        <f>+G109*4%</f>
        <v>48000</v>
      </c>
      <c r="N109" s="5"/>
      <c r="O109" s="5"/>
      <c r="P109" s="5">
        <v>0</v>
      </c>
      <c r="Q109" s="5"/>
      <c r="R109" s="5"/>
      <c r="S109" s="5"/>
      <c r="T109" s="5">
        <f t="shared" si="48"/>
        <v>96000</v>
      </c>
      <c r="U109" s="7">
        <f t="shared" si="101"/>
        <v>1187140</v>
      </c>
      <c r="V109" s="7"/>
      <c r="W109" s="44"/>
      <c r="X109" s="7">
        <f t="shared" si="66"/>
        <v>1187140</v>
      </c>
    </row>
    <row r="110" spans="1:24" ht="24" x14ac:dyDescent="0.25">
      <c r="A110" s="90"/>
      <c r="B110" s="4">
        <v>60</v>
      </c>
      <c r="C110" s="11" t="s">
        <v>134</v>
      </c>
      <c r="D110" s="6" t="s">
        <v>27</v>
      </c>
      <c r="E110" s="5">
        <v>1800000</v>
      </c>
      <c r="F110" s="5">
        <v>30</v>
      </c>
      <c r="G110" s="5">
        <f>+E110/30*F110</f>
        <v>1800000</v>
      </c>
      <c r="H110" s="5"/>
      <c r="I110" s="5"/>
      <c r="J110" s="21"/>
      <c r="K110" s="5">
        <f t="shared" si="85"/>
        <v>1800000</v>
      </c>
      <c r="L110" s="5">
        <f t="shared" ref="L110" si="102">+G110*4%</f>
        <v>72000</v>
      </c>
      <c r="M110" s="5">
        <f t="shared" ref="M110" si="103">+G110*4%</f>
        <v>72000</v>
      </c>
      <c r="N110" s="5"/>
      <c r="O110" s="5"/>
      <c r="P110" s="5">
        <v>0</v>
      </c>
      <c r="Q110" s="5"/>
      <c r="R110" s="5"/>
      <c r="S110" s="5"/>
      <c r="T110" s="5">
        <f t="shared" ref="T110" si="104">SUM(L110:S110)</f>
        <v>144000</v>
      </c>
      <c r="U110" s="7">
        <f t="shared" si="101"/>
        <v>1656000</v>
      </c>
      <c r="V110" s="7"/>
      <c r="W110" s="44"/>
      <c r="X110" s="7">
        <f t="shared" si="66"/>
        <v>1656000</v>
      </c>
    </row>
    <row r="111" spans="1:24" ht="18.75" customHeight="1" x14ac:dyDescent="0.25">
      <c r="A111" s="90"/>
      <c r="B111" s="4">
        <v>61</v>
      </c>
      <c r="C111" s="11" t="s">
        <v>135</v>
      </c>
      <c r="D111" s="6" t="s">
        <v>27</v>
      </c>
      <c r="E111" s="5">
        <v>2000000</v>
      </c>
      <c r="F111" s="5">
        <v>30</v>
      </c>
      <c r="G111" s="5">
        <f t="shared" ref="G111:G115" si="105">+E111/30*F111</f>
        <v>2000000.0000000002</v>
      </c>
      <c r="H111" s="5"/>
      <c r="I111" s="5"/>
      <c r="J111" s="5">
        <f>+E111-G111</f>
        <v>0</v>
      </c>
      <c r="K111" s="5">
        <f t="shared" si="85"/>
        <v>2000000.0000000002</v>
      </c>
      <c r="L111" s="5">
        <v>80000</v>
      </c>
      <c r="M111" s="5">
        <v>80000</v>
      </c>
      <c r="N111" s="5"/>
      <c r="O111" s="5"/>
      <c r="P111" s="5"/>
      <c r="Q111" s="5"/>
      <c r="R111" s="5"/>
      <c r="S111" s="5"/>
      <c r="T111" s="5">
        <f t="shared" si="48"/>
        <v>160000</v>
      </c>
      <c r="U111" s="7">
        <f t="shared" si="101"/>
        <v>1840000.0000000002</v>
      </c>
      <c r="V111" s="7"/>
      <c r="W111" s="44"/>
      <c r="X111" s="7">
        <f t="shared" si="66"/>
        <v>1840000.0000000002</v>
      </c>
    </row>
    <row r="112" spans="1:24" ht="18.75" customHeight="1" x14ac:dyDescent="0.25">
      <c r="A112" s="90"/>
      <c r="B112" s="4">
        <v>62</v>
      </c>
      <c r="C112" s="11" t="s">
        <v>136</v>
      </c>
      <c r="D112" s="6"/>
      <c r="E112" s="5">
        <v>737717</v>
      </c>
      <c r="F112" s="5">
        <v>30</v>
      </c>
      <c r="G112" s="5">
        <f>+E112/30*F112</f>
        <v>737717</v>
      </c>
      <c r="H112" s="5">
        <f t="shared" ref="H112:H113" si="106">+(83140/30)*F112</f>
        <v>83140</v>
      </c>
      <c r="I112" s="5"/>
      <c r="J112" s="22"/>
      <c r="K112" s="5">
        <f t="shared" ref="K112:K113" si="107">SUM(G112:I112)+J112</f>
        <v>820857</v>
      </c>
      <c r="L112" s="5">
        <f t="shared" ref="L112:L113" si="108">+G112*4%</f>
        <v>29508.68</v>
      </c>
      <c r="M112" s="5">
        <f t="shared" ref="M112:M113" si="109">+G112*4%</f>
        <v>29508.68</v>
      </c>
      <c r="N112" s="5"/>
      <c r="O112" s="5"/>
      <c r="P112" s="5">
        <v>0</v>
      </c>
      <c r="Q112" s="5"/>
      <c r="R112" s="5"/>
      <c r="S112" s="5"/>
      <c r="T112" s="5">
        <f t="shared" ref="T112" si="110">SUM(L112:S112)</f>
        <v>59017.36</v>
      </c>
      <c r="U112" s="7">
        <f t="shared" si="101"/>
        <v>761839.64</v>
      </c>
      <c r="V112" s="7"/>
      <c r="W112" s="44"/>
      <c r="X112" s="7">
        <f t="shared" si="66"/>
        <v>761839.64</v>
      </c>
    </row>
    <row r="113" spans="1:28" ht="18.75" customHeight="1" x14ac:dyDescent="0.25">
      <c r="A113" s="90"/>
      <c r="B113" s="4">
        <v>63</v>
      </c>
      <c r="C113" s="11" t="s">
        <v>137</v>
      </c>
      <c r="D113" s="6"/>
      <c r="E113" s="5">
        <v>1070000</v>
      </c>
      <c r="F113" s="5">
        <v>30</v>
      </c>
      <c r="G113" s="5">
        <f>+E113/30*F113</f>
        <v>1070000</v>
      </c>
      <c r="H113" s="5">
        <f t="shared" si="106"/>
        <v>83140</v>
      </c>
      <c r="I113" s="5"/>
      <c r="J113" s="22"/>
      <c r="K113" s="5">
        <f t="shared" si="107"/>
        <v>1153140</v>
      </c>
      <c r="L113" s="5">
        <f t="shared" si="108"/>
        <v>42800</v>
      </c>
      <c r="M113" s="5">
        <f t="shared" si="109"/>
        <v>42800</v>
      </c>
      <c r="N113" s="5"/>
      <c r="O113" s="5"/>
      <c r="P113" s="5">
        <v>0</v>
      </c>
      <c r="Q113" s="5"/>
      <c r="R113" s="5"/>
      <c r="S113" s="5"/>
      <c r="T113" s="5">
        <f t="shared" ref="T113" si="111">SUM(L113:S113)</f>
        <v>85600</v>
      </c>
      <c r="U113" s="7">
        <f t="shared" si="101"/>
        <v>1067540</v>
      </c>
      <c r="V113" s="7"/>
      <c r="W113" s="44"/>
      <c r="X113" s="7">
        <f t="shared" si="66"/>
        <v>1067540</v>
      </c>
    </row>
    <row r="114" spans="1:28" x14ac:dyDescent="0.25">
      <c r="A114" s="90"/>
      <c r="B114" s="4">
        <v>64</v>
      </c>
      <c r="C114" s="11" t="s">
        <v>138</v>
      </c>
      <c r="D114" s="6" t="s">
        <v>27</v>
      </c>
      <c r="E114" s="5">
        <v>4400000</v>
      </c>
      <c r="F114" s="5">
        <v>30</v>
      </c>
      <c r="G114" s="5">
        <f>+E114/30*F114</f>
        <v>4400000</v>
      </c>
      <c r="H114" s="5"/>
      <c r="I114" s="5"/>
      <c r="J114" s="5"/>
      <c r="K114" s="5">
        <f t="shared" ref="K114" si="112">SUM(G114:I114)+J114</f>
        <v>4400000</v>
      </c>
      <c r="L114" s="5">
        <f>+G114*4%</f>
        <v>176000</v>
      </c>
      <c r="M114" s="5">
        <f>+G114*5%</f>
        <v>220000</v>
      </c>
      <c r="N114" s="5"/>
      <c r="O114" s="5"/>
      <c r="P114" s="5">
        <v>44000</v>
      </c>
      <c r="Q114" s="5"/>
      <c r="R114" s="5"/>
      <c r="S114" s="5">
        <v>522840</v>
      </c>
      <c r="T114" s="5">
        <f t="shared" si="48"/>
        <v>962840</v>
      </c>
      <c r="U114" s="7">
        <f t="shared" si="101"/>
        <v>3437160</v>
      </c>
      <c r="V114" s="7"/>
      <c r="W114" s="44"/>
      <c r="X114" s="7">
        <f t="shared" si="66"/>
        <v>3437160</v>
      </c>
    </row>
    <row r="115" spans="1:28" ht="24.75" customHeight="1" x14ac:dyDescent="0.25">
      <c r="A115" s="91"/>
      <c r="B115" s="4">
        <v>65</v>
      </c>
      <c r="C115" s="11" t="s">
        <v>139</v>
      </c>
      <c r="D115" s="6" t="s">
        <v>27</v>
      </c>
      <c r="E115" s="5">
        <v>2500000</v>
      </c>
      <c r="F115" s="5">
        <v>30</v>
      </c>
      <c r="G115" s="5">
        <f t="shared" si="105"/>
        <v>2500000</v>
      </c>
      <c r="H115" s="5"/>
      <c r="I115" s="5">
        <v>500000</v>
      </c>
      <c r="J115" s="5">
        <f>+E115-G115</f>
        <v>0</v>
      </c>
      <c r="K115" s="5">
        <f t="shared" si="85"/>
        <v>3000000</v>
      </c>
      <c r="L115" s="5">
        <v>100000</v>
      </c>
      <c r="M115" s="5">
        <v>100000</v>
      </c>
      <c r="N115" s="5"/>
      <c r="O115" s="5"/>
      <c r="P115" s="5">
        <v>0</v>
      </c>
      <c r="Q115" s="5"/>
      <c r="R115" s="5"/>
      <c r="S115" s="5"/>
      <c r="T115" s="5">
        <f t="shared" si="48"/>
        <v>200000</v>
      </c>
      <c r="U115" s="7">
        <f>K115-T115</f>
        <v>2800000</v>
      </c>
      <c r="V115" s="7"/>
      <c r="W115" s="44"/>
      <c r="X115" s="7">
        <f t="shared" si="66"/>
        <v>2800000</v>
      </c>
    </row>
    <row r="116" spans="1:28" x14ac:dyDescent="0.25">
      <c r="A116" s="4"/>
      <c r="B116" s="4"/>
      <c r="C116" s="11" t="s">
        <v>140</v>
      </c>
      <c r="D116" s="4"/>
      <c r="E116" s="5">
        <f>SUM(E4:E115)</f>
        <v>385111090</v>
      </c>
      <c r="F116" s="5" t="s">
        <v>1</v>
      </c>
      <c r="G116" s="5">
        <f>SUM(G4:G115)</f>
        <v>378345117.73333335</v>
      </c>
      <c r="H116" s="5">
        <f>SUM(H5:H109)</f>
        <v>1540860.3333333335</v>
      </c>
      <c r="I116" s="5">
        <f>SUM(I5:I109)</f>
        <v>14983987</v>
      </c>
      <c r="J116" s="5">
        <f>SUM(J4:J115)</f>
        <v>3165048.333333333</v>
      </c>
      <c r="K116" s="5">
        <f>SUM(K5:K109)</f>
        <v>380712296.40000004</v>
      </c>
      <c r="L116" s="5">
        <f>SUM(L5:L109)</f>
        <v>14495629.906666664</v>
      </c>
      <c r="M116" s="5">
        <f>SUM(M5:M109)</f>
        <v>17492189.903333332</v>
      </c>
      <c r="N116" s="5">
        <f>SUM(N5:N109)</f>
        <v>102400</v>
      </c>
      <c r="O116" s="5">
        <f>SUM(O4:O115)</f>
        <v>0</v>
      </c>
      <c r="P116" s="5">
        <f>SUM(P4:P115)</f>
        <v>5237415</v>
      </c>
      <c r="Q116" s="5">
        <f>SUM(Q5:Q109)</f>
        <v>9500000</v>
      </c>
      <c r="R116" s="5">
        <f>SUM(R5:R109)</f>
        <v>1078779</v>
      </c>
      <c r="S116" s="5">
        <f>SUM(S5:S109)</f>
        <v>10165074</v>
      </c>
      <c r="T116" s="5">
        <f>SUM(T5:T109)</f>
        <v>58008487.809999995</v>
      </c>
      <c r="U116" s="7">
        <f>SUM(U4:U115)</f>
        <v>338628998.2299999</v>
      </c>
      <c r="V116" s="7">
        <f>SUM(V5:V109)</f>
        <v>0</v>
      </c>
      <c r="W116" s="44">
        <f>SUM(W5:W109)</f>
        <v>0</v>
      </c>
      <c r="X116" s="7">
        <f>SUM(X4:X115)</f>
        <v>329736498.2299999</v>
      </c>
    </row>
    <row r="117" spans="1:28" x14ac:dyDescent="0.25">
      <c r="E117" s="54"/>
      <c r="F117" s="54"/>
      <c r="G117" s="54"/>
      <c r="U117" s="55"/>
      <c r="V117" s="55"/>
      <c r="X117" s="55"/>
    </row>
    <row r="118" spans="1:28" x14ac:dyDescent="0.25">
      <c r="D118" s="53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>
        <v>1656000</v>
      </c>
      <c r="P118" s="54"/>
      <c r="Q118" s="54"/>
      <c r="R118" s="54"/>
      <c r="S118" s="54"/>
      <c r="T118" s="54"/>
      <c r="U118" s="57"/>
      <c r="V118" s="53"/>
      <c r="W118" s="58"/>
      <c r="X118" s="57"/>
    </row>
    <row r="119" spans="1:28" x14ac:dyDescent="0.25">
      <c r="D119" s="53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>
        <v>1095140</v>
      </c>
      <c r="P119" s="54"/>
      <c r="Q119" s="54"/>
      <c r="R119" s="54"/>
      <c r="S119" s="54"/>
      <c r="T119" s="54"/>
      <c r="U119" s="53"/>
      <c r="V119" s="53"/>
      <c r="W119" s="58"/>
      <c r="X119" s="57"/>
    </row>
    <row r="120" spans="1:28" x14ac:dyDescent="0.25">
      <c r="C120" s="59"/>
      <c r="D120" s="53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>
        <f>+O118-O119</f>
        <v>560860</v>
      </c>
      <c r="P120" s="54"/>
      <c r="Q120" s="54"/>
      <c r="R120" s="54"/>
      <c r="S120" s="54"/>
      <c r="T120" s="54"/>
      <c r="U120" s="53"/>
      <c r="V120" s="53"/>
      <c r="W120" s="58"/>
      <c r="X120" s="57"/>
    </row>
    <row r="121" spans="1:28" x14ac:dyDescent="0.25">
      <c r="C121" s="59"/>
      <c r="D121" s="53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3"/>
      <c r="V121" s="53"/>
      <c r="W121" s="58"/>
      <c r="X121" s="53"/>
      <c r="Y121" s="53"/>
      <c r="Z121" s="53"/>
      <c r="AA121" s="53"/>
      <c r="AB121" s="53"/>
    </row>
    <row r="122" spans="1:28" x14ac:dyDescent="0.25">
      <c r="B122" s="53"/>
      <c r="C122" s="59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54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53"/>
      <c r="Z122" s="53"/>
      <c r="AA122" s="53"/>
      <c r="AB122" s="53"/>
    </row>
    <row r="123" spans="1:28" x14ac:dyDescent="0.25">
      <c r="B123" s="53"/>
      <c r="C123" s="59"/>
      <c r="D123" s="53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3"/>
      <c r="V123" s="53"/>
      <c r="W123" s="58"/>
      <c r="X123" s="53"/>
      <c r="Y123" s="53"/>
      <c r="Z123" s="53"/>
      <c r="AA123" s="53"/>
      <c r="AB123" s="53"/>
    </row>
    <row r="124" spans="1:28" x14ac:dyDescent="0.25">
      <c r="B124" s="53"/>
      <c r="C124" s="59"/>
      <c r="D124" s="53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3"/>
      <c r="V124" s="53"/>
      <c r="W124" s="58"/>
      <c r="X124" s="53"/>
      <c r="Y124" s="53"/>
      <c r="Z124" s="53"/>
      <c r="AA124" s="53"/>
      <c r="AB124" s="53"/>
    </row>
    <row r="125" spans="1:28" x14ac:dyDescent="0.25">
      <c r="B125" s="53"/>
      <c r="C125" s="59"/>
      <c r="D125" s="53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3"/>
      <c r="V125" s="53"/>
      <c r="W125" s="58"/>
      <c r="X125" s="53"/>
      <c r="Y125" s="53"/>
      <c r="Z125" s="53"/>
      <c r="AA125" s="53"/>
      <c r="AB125" s="53"/>
    </row>
    <row r="126" spans="1:28" x14ac:dyDescent="0.25">
      <c r="B126" s="53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2"/>
      <c r="W126" s="63"/>
      <c r="X126" s="62"/>
      <c r="Y126" s="53"/>
      <c r="Z126" s="53"/>
      <c r="AA126" s="53"/>
      <c r="AB126" s="53"/>
    </row>
    <row r="127" spans="1:28" x14ac:dyDescent="0.25">
      <c r="B127" s="64"/>
      <c r="C127" s="59"/>
      <c r="D127" s="62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2"/>
      <c r="V127" s="62"/>
      <c r="W127" s="63"/>
      <c r="X127" s="62"/>
      <c r="Y127" s="53"/>
      <c r="Z127" s="53"/>
      <c r="AA127" s="53"/>
      <c r="AB127" s="53"/>
    </row>
    <row r="128" spans="1:28" x14ac:dyDescent="0.25">
      <c r="B128" s="53"/>
      <c r="C128" s="59"/>
      <c r="D128" s="53"/>
      <c r="E128" s="54"/>
      <c r="F128" s="54"/>
      <c r="G128" s="66"/>
      <c r="H128" s="54"/>
      <c r="I128" s="54"/>
      <c r="J128" s="54"/>
      <c r="K128" s="54"/>
      <c r="L128" s="54"/>
      <c r="M128" s="54"/>
      <c r="N128" s="67"/>
      <c r="O128" s="67"/>
      <c r="P128" s="67"/>
      <c r="Q128" s="67"/>
      <c r="R128" s="67"/>
      <c r="S128" s="54"/>
      <c r="T128" s="54"/>
      <c r="U128" s="53"/>
      <c r="V128" s="53"/>
      <c r="W128" s="58"/>
      <c r="X128" s="53"/>
      <c r="Y128" s="53"/>
      <c r="Z128" s="53"/>
      <c r="AA128" s="53"/>
      <c r="AB128" s="53"/>
    </row>
    <row r="129" spans="2:28" x14ac:dyDescent="0.25">
      <c r="B129" s="53"/>
      <c r="C129" s="68"/>
      <c r="D129" s="62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2"/>
      <c r="V129" s="62"/>
      <c r="W129" s="63"/>
      <c r="X129" s="62"/>
      <c r="Y129" s="53"/>
      <c r="Z129" s="53"/>
      <c r="AA129" s="53"/>
      <c r="AB129" s="53"/>
    </row>
    <row r="130" spans="2:28" x14ac:dyDescent="0.25">
      <c r="B130" s="62"/>
      <c r="C130" s="68"/>
      <c r="D130" s="62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2"/>
      <c r="V130" s="62"/>
      <c r="W130" s="63"/>
      <c r="X130" s="62"/>
      <c r="Y130" s="53"/>
      <c r="Z130" s="53"/>
      <c r="AA130" s="53"/>
      <c r="AB130" s="53"/>
    </row>
    <row r="131" spans="2:28" x14ac:dyDescent="0.25">
      <c r="B131" s="53"/>
      <c r="C131" s="68"/>
      <c r="D131" s="62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7"/>
      <c r="V131" s="57"/>
      <c r="W131" s="58"/>
      <c r="X131" s="57"/>
      <c r="Y131" s="53"/>
      <c r="Z131" s="53"/>
      <c r="AA131" s="53"/>
      <c r="AB131" s="53"/>
    </row>
    <row r="132" spans="2:28" x14ac:dyDescent="0.25">
      <c r="C132" s="68"/>
      <c r="D132" s="62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7"/>
      <c r="V132" s="57"/>
      <c r="W132" s="58"/>
      <c r="X132" s="57"/>
      <c r="Y132" s="53"/>
      <c r="Z132" s="53"/>
      <c r="AA132" s="53"/>
      <c r="AB132" s="53"/>
    </row>
    <row r="133" spans="2:28" x14ac:dyDescent="0.25">
      <c r="C133" s="68"/>
      <c r="D133" s="62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7"/>
      <c r="V133" s="57"/>
      <c r="W133" s="58"/>
      <c r="X133" s="57"/>
      <c r="Y133" s="53"/>
      <c r="Z133" s="53"/>
      <c r="AA133" s="53"/>
      <c r="AB133" s="53"/>
    </row>
    <row r="134" spans="2:28" x14ac:dyDescent="0.25">
      <c r="C134" s="68"/>
      <c r="D134" s="62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7"/>
      <c r="V134" s="57"/>
      <c r="W134" s="58"/>
      <c r="X134" s="57"/>
      <c r="Y134" s="53"/>
      <c r="Z134" s="53"/>
      <c r="AA134" s="53"/>
      <c r="AB134" s="53"/>
    </row>
    <row r="135" spans="2:28" x14ac:dyDescent="0.25">
      <c r="C135" s="68"/>
      <c r="D135" s="62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7"/>
      <c r="V135" s="57"/>
      <c r="W135" s="58"/>
      <c r="X135" s="57"/>
      <c r="Y135" s="53"/>
      <c r="Z135" s="53"/>
      <c r="AA135" s="53"/>
      <c r="AB135" s="53"/>
    </row>
    <row r="136" spans="2:28" x14ac:dyDescent="0.25">
      <c r="C136" s="68"/>
      <c r="D136" s="62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7"/>
      <c r="V136" s="57"/>
      <c r="W136" s="58"/>
      <c r="X136" s="57"/>
      <c r="Y136" s="53"/>
      <c r="Z136" s="53"/>
      <c r="AA136" s="53"/>
      <c r="AB136" s="53"/>
    </row>
    <row r="137" spans="2:28" x14ac:dyDescent="0.25">
      <c r="C137" s="59"/>
      <c r="D137" s="53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7"/>
      <c r="V137" s="57"/>
      <c r="W137" s="58"/>
      <c r="X137" s="57"/>
      <c r="Y137" s="53"/>
      <c r="Z137" s="53"/>
      <c r="AA137" s="53"/>
      <c r="AB137" s="53"/>
    </row>
    <row r="138" spans="2:28" x14ac:dyDescent="0.25">
      <c r="C138" s="68"/>
      <c r="D138" s="53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7"/>
      <c r="V138" s="57"/>
      <c r="W138" s="58"/>
      <c r="X138" s="57"/>
      <c r="Y138" s="53"/>
      <c r="Z138" s="53"/>
      <c r="AA138" s="53"/>
      <c r="AB138" s="53"/>
    </row>
    <row r="139" spans="2:28" x14ac:dyDescent="0.25">
      <c r="C139" s="68"/>
      <c r="D139" s="53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7"/>
      <c r="V139" s="57"/>
      <c r="W139" s="58"/>
      <c r="X139" s="57"/>
      <c r="Y139" s="53"/>
      <c r="Z139" s="53"/>
      <c r="AA139" s="53"/>
      <c r="AB139" s="53"/>
    </row>
    <row r="140" spans="2:28" x14ac:dyDescent="0.25">
      <c r="C140" s="68"/>
      <c r="D140" s="53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7"/>
      <c r="V140" s="57"/>
      <c r="W140" s="58"/>
      <c r="X140" s="57"/>
      <c r="Y140" s="53"/>
      <c r="Z140" s="53"/>
      <c r="AA140" s="53"/>
      <c r="AB140" s="53"/>
    </row>
    <row r="141" spans="2:28" x14ac:dyDescent="0.25">
      <c r="C141" s="68"/>
      <c r="D141" s="53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7"/>
      <c r="V141" s="57"/>
      <c r="W141" s="58"/>
      <c r="X141" s="57"/>
      <c r="Y141" s="53"/>
      <c r="Z141" s="53"/>
      <c r="AA141" s="53"/>
      <c r="AB141" s="53"/>
    </row>
    <row r="142" spans="2:28" x14ac:dyDescent="0.25">
      <c r="C142" s="68"/>
      <c r="D142" s="53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7"/>
      <c r="V142" s="57"/>
      <c r="W142" s="58"/>
      <c r="X142" s="57"/>
      <c r="Y142" s="53"/>
      <c r="Z142" s="53"/>
      <c r="AA142" s="53"/>
      <c r="AB142" s="53"/>
    </row>
    <row r="143" spans="2:28" x14ac:dyDescent="0.25">
      <c r="C143" s="68"/>
      <c r="D143" s="53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7"/>
      <c r="V143" s="57"/>
      <c r="W143" s="58"/>
      <c r="X143" s="57"/>
      <c r="Y143" s="53"/>
      <c r="Z143" s="53"/>
      <c r="AA143" s="53"/>
      <c r="AB143" s="53"/>
    </row>
    <row r="144" spans="2:28" x14ac:dyDescent="0.25">
      <c r="C144" s="68"/>
      <c r="D144" s="53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7"/>
      <c r="V144" s="57"/>
      <c r="W144" s="58"/>
      <c r="X144" s="57"/>
      <c r="Y144" s="53"/>
      <c r="Z144" s="53"/>
      <c r="AA144" s="53"/>
      <c r="AB144" s="53"/>
    </row>
    <row r="145" spans="2:28" x14ac:dyDescent="0.25">
      <c r="C145" s="68"/>
      <c r="D145" s="53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7"/>
      <c r="V145" s="57"/>
      <c r="W145" s="58"/>
      <c r="X145" s="57"/>
      <c r="Y145" s="53"/>
      <c r="Z145" s="53"/>
      <c r="AA145" s="53"/>
      <c r="AB145" s="53"/>
    </row>
    <row r="146" spans="2:28" x14ac:dyDescent="0.25">
      <c r="C146" s="68"/>
      <c r="D146" s="53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7"/>
      <c r="V146" s="57"/>
      <c r="W146" s="58"/>
      <c r="X146" s="57"/>
      <c r="Y146" s="53"/>
      <c r="Z146" s="53"/>
      <c r="AA146" s="53"/>
      <c r="AB146" s="53"/>
    </row>
    <row r="147" spans="2:28" x14ac:dyDescent="0.25">
      <c r="C147" s="68"/>
      <c r="D147" s="53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7"/>
      <c r="V147" s="57"/>
      <c r="W147" s="58"/>
      <c r="X147" s="57"/>
      <c r="Y147" s="53"/>
      <c r="Z147" s="53"/>
      <c r="AA147" s="53"/>
      <c r="AB147" s="53"/>
    </row>
    <row r="148" spans="2:28" x14ac:dyDescent="0.25">
      <c r="C148" s="68"/>
      <c r="D148" s="53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7"/>
      <c r="V148" s="57"/>
      <c r="W148" s="58"/>
      <c r="X148" s="57"/>
      <c r="Y148" s="53"/>
      <c r="Z148" s="53"/>
      <c r="AA148" s="53"/>
      <c r="AB148" s="53"/>
    </row>
    <row r="149" spans="2:28" x14ac:dyDescent="0.25">
      <c r="C149" s="59"/>
      <c r="D149" s="53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3"/>
      <c r="V149" s="53"/>
      <c r="W149" s="58"/>
      <c r="X149" s="53"/>
      <c r="Y149" s="53"/>
      <c r="Z149" s="53"/>
      <c r="AA149" s="53"/>
      <c r="AB149" s="53"/>
    </row>
    <row r="150" spans="2:28" x14ac:dyDescent="0.25">
      <c r="C150" s="59"/>
      <c r="D150" s="53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53"/>
      <c r="S150" s="54"/>
      <c r="T150" s="54"/>
      <c r="U150" s="53"/>
      <c r="V150" s="53"/>
      <c r="W150" s="58"/>
      <c r="X150" s="53"/>
      <c r="Y150" s="53"/>
      <c r="Z150" s="53"/>
      <c r="AA150" s="53"/>
      <c r="AB150" s="53"/>
    </row>
    <row r="151" spans="2:28" x14ac:dyDescent="0.25">
      <c r="B151" s="53"/>
      <c r="C151" s="59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53"/>
      <c r="Z151" s="53"/>
      <c r="AA151" s="53"/>
      <c r="AB151" s="53"/>
    </row>
    <row r="152" spans="2:28" x14ac:dyDescent="0.25">
      <c r="B152" s="53"/>
      <c r="C152" s="59"/>
      <c r="D152" s="53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2"/>
      <c r="V152" s="62"/>
      <c r="W152" s="63"/>
      <c r="X152" s="62"/>
      <c r="Y152" s="53"/>
      <c r="Z152" s="53"/>
      <c r="AA152" s="53"/>
      <c r="AB152" s="53"/>
    </row>
    <row r="153" spans="2:28" x14ac:dyDescent="0.25">
      <c r="B153" s="53"/>
      <c r="C153" s="68"/>
      <c r="D153" s="62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2"/>
      <c r="V153" s="62"/>
      <c r="W153" s="63"/>
      <c r="X153" s="62"/>
    </row>
    <row r="154" spans="2:28" x14ac:dyDescent="0.25">
      <c r="B154" s="69"/>
      <c r="C154" s="68"/>
      <c r="D154" s="62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2"/>
      <c r="V154" s="62"/>
      <c r="W154" s="63"/>
      <c r="X154" s="62"/>
    </row>
    <row r="155" spans="2:28" x14ac:dyDescent="0.25">
      <c r="C155" s="68"/>
      <c r="D155" s="62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7"/>
      <c r="V155" s="57"/>
      <c r="W155" s="58"/>
      <c r="X155" s="57"/>
    </row>
    <row r="156" spans="2:28" x14ac:dyDescent="0.25">
      <c r="C156" s="68"/>
      <c r="D156" s="62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7"/>
      <c r="V156" s="57"/>
      <c r="W156" s="58"/>
      <c r="X156" s="57"/>
    </row>
    <row r="157" spans="2:28" x14ac:dyDescent="0.25">
      <c r="C157" s="68"/>
      <c r="D157" s="62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7"/>
      <c r="V157" s="57"/>
      <c r="W157" s="58"/>
      <c r="X157" s="57"/>
    </row>
    <row r="158" spans="2:28" x14ac:dyDescent="0.25">
      <c r="C158" s="59"/>
      <c r="D158" s="53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7"/>
      <c r="V158" s="57"/>
      <c r="W158" s="58"/>
      <c r="X158" s="57"/>
    </row>
    <row r="159" spans="2:28" x14ac:dyDescent="0.25">
      <c r="C159" s="68"/>
      <c r="D159" s="53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7"/>
      <c r="V159" s="57"/>
      <c r="W159" s="58"/>
      <c r="X159" s="57"/>
    </row>
    <row r="160" spans="2:28" x14ac:dyDescent="0.25">
      <c r="C160" s="59"/>
      <c r="D160" s="53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3"/>
      <c r="V160" s="53"/>
      <c r="W160" s="58"/>
      <c r="X160" s="53"/>
    </row>
    <row r="161" spans="2:24" x14ac:dyDescent="0.25">
      <c r="C161" s="59"/>
      <c r="D161" s="53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7"/>
      <c r="V161" s="57"/>
      <c r="W161" s="58"/>
      <c r="X161" s="57"/>
    </row>
    <row r="162" spans="2:24" x14ac:dyDescent="0.25">
      <c r="B162" s="53"/>
      <c r="C162" s="59"/>
      <c r="D162" s="53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3"/>
      <c r="V162" s="53"/>
      <c r="W162" s="58"/>
      <c r="X162" s="53"/>
    </row>
    <row r="163" spans="2:24" x14ac:dyDescent="0.25">
      <c r="B163" s="53"/>
      <c r="C163" s="59"/>
      <c r="D163" s="53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3"/>
      <c r="V163" s="53"/>
      <c r="W163" s="58"/>
      <c r="X163" s="53"/>
    </row>
    <row r="164" spans="2:24" x14ac:dyDescent="0.25">
      <c r="B164" s="53"/>
      <c r="C164" s="59"/>
      <c r="D164" s="53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70"/>
      <c r="V164" s="70"/>
      <c r="W164" s="58"/>
      <c r="X164" s="70"/>
    </row>
    <row r="165" spans="2:24" x14ac:dyDescent="0.25">
      <c r="B165" s="53"/>
      <c r="C165" s="59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71"/>
      <c r="V165" s="71"/>
      <c r="W165" s="58"/>
      <c r="X165" s="71"/>
    </row>
    <row r="166" spans="2:24" x14ac:dyDescent="0.25">
      <c r="C166" s="59"/>
      <c r="D166" s="53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3"/>
      <c r="V166" s="53"/>
      <c r="W166" s="58"/>
      <c r="X166" s="53"/>
    </row>
    <row r="167" spans="2:24" x14ac:dyDescent="0.25">
      <c r="C167" s="59"/>
      <c r="D167" s="53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3"/>
      <c r="V167" s="53"/>
      <c r="W167" s="58"/>
      <c r="X167" s="53"/>
    </row>
    <row r="168" spans="2:24" x14ac:dyDescent="0.25">
      <c r="C168" s="59"/>
      <c r="D168" s="53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3"/>
      <c r="V168" s="53"/>
      <c r="W168" s="58"/>
      <c r="X168" s="53"/>
    </row>
    <row r="169" spans="2:24" x14ac:dyDescent="0.25">
      <c r="C169" s="59"/>
      <c r="D169" s="53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3"/>
      <c r="V169" s="53"/>
      <c r="W169" s="58"/>
      <c r="X169" s="53"/>
    </row>
    <row r="170" spans="2:24" x14ac:dyDescent="0.25">
      <c r="C170" s="59"/>
      <c r="D170" s="53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3"/>
      <c r="V170" s="53"/>
      <c r="W170" s="58"/>
      <c r="X170" s="53"/>
    </row>
    <row r="171" spans="2:24" x14ac:dyDescent="0.25">
      <c r="C171" s="59"/>
      <c r="D171" s="53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3"/>
      <c r="V171" s="53"/>
      <c r="W171" s="58"/>
      <c r="X171" s="53"/>
    </row>
    <row r="172" spans="2:24" x14ac:dyDescent="0.25">
      <c r="C172" s="59"/>
      <c r="D172" s="53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3"/>
      <c r="V172" s="53"/>
      <c r="W172" s="58"/>
      <c r="X172" s="53"/>
    </row>
    <row r="173" spans="2:24" x14ac:dyDescent="0.25">
      <c r="C173" s="59"/>
      <c r="D173" s="53"/>
      <c r="E173" s="54"/>
      <c r="F173" s="54"/>
      <c r="G173" s="54"/>
      <c r="H173" s="54"/>
      <c r="I173" s="54"/>
      <c r="J173" s="54"/>
      <c r="K173" s="54"/>
      <c r="L173" s="54">
        <v>3003000</v>
      </c>
      <c r="M173" s="54"/>
      <c r="N173" s="54"/>
      <c r="O173" s="54"/>
      <c r="P173" s="54"/>
      <c r="Q173" s="54"/>
      <c r="R173" s="54"/>
      <c r="S173" s="54"/>
      <c r="T173" s="54"/>
      <c r="U173" s="53"/>
      <c r="V173" s="53"/>
      <c r="W173" s="58"/>
      <c r="X173" s="53"/>
    </row>
    <row r="174" spans="2:24" x14ac:dyDescent="0.25">
      <c r="C174" s="68"/>
      <c r="D174" s="53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3"/>
      <c r="V174" s="53"/>
      <c r="W174" s="58"/>
      <c r="X174" s="53"/>
    </row>
    <row r="175" spans="2:24" x14ac:dyDescent="0.25">
      <c r="C175" s="68"/>
      <c r="D175" s="53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3"/>
      <c r="V175" s="53"/>
      <c r="W175" s="58"/>
      <c r="X175" s="53"/>
    </row>
    <row r="176" spans="2:24" x14ac:dyDescent="0.25">
      <c r="C176" s="68"/>
      <c r="D176" s="53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3"/>
      <c r="V176" s="53"/>
      <c r="W176" s="58"/>
      <c r="X176" s="53"/>
    </row>
    <row r="177" spans="3:24" x14ac:dyDescent="0.25">
      <c r="C177" s="68"/>
      <c r="D177" s="53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3"/>
      <c r="V177" s="53"/>
      <c r="W177" s="58"/>
      <c r="X177" s="53"/>
    </row>
    <row r="178" spans="3:24" x14ac:dyDescent="0.25">
      <c r="C178" s="59">
        <v>42614840</v>
      </c>
      <c r="D178" s="53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>
        <v>412608</v>
      </c>
      <c r="U178" s="53"/>
      <c r="V178" s="53"/>
      <c r="W178" s="58"/>
      <c r="X178" s="53"/>
    </row>
    <row r="179" spans="3:24" x14ac:dyDescent="0.25">
      <c r="C179" s="59">
        <v>9675182</v>
      </c>
      <c r="D179" s="53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>
        <v>1880000</v>
      </c>
      <c r="U179" s="53"/>
      <c r="V179" s="53"/>
      <c r="W179" s="58"/>
      <c r="X179" s="53"/>
    </row>
    <row r="180" spans="3:24" x14ac:dyDescent="0.25">
      <c r="C180" s="59">
        <v>17903600</v>
      </c>
      <c r="D180" s="53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3"/>
      <c r="V180" s="53"/>
      <c r="W180" s="58"/>
      <c r="X180" s="53"/>
    </row>
    <row r="181" spans="3:24" x14ac:dyDescent="0.25">
      <c r="C181" s="59">
        <f>SUM(C178:C180)</f>
        <v>70193622</v>
      </c>
      <c r="D181" s="53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3"/>
      <c r="V181" s="53"/>
      <c r="W181" s="58"/>
      <c r="X181" s="53"/>
    </row>
    <row r="182" spans="3:24" x14ac:dyDescent="0.25">
      <c r="C182" s="59">
        <v>400000</v>
      </c>
      <c r="D182" s="53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3"/>
      <c r="V182" s="53"/>
      <c r="W182" s="58"/>
      <c r="X182" s="53"/>
    </row>
    <row r="183" spans="3:24" x14ac:dyDescent="0.25">
      <c r="C183" s="59">
        <f>+C181+C182</f>
        <v>70593622</v>
      </c>
      <c r="D183" s="53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3"/>
      <c r="V183" s="53"/>
      <c r="W183" s="58"/>
      <c r="X183" s="53"/>
    </row>
    <row r="186" spans="3:24" x14ac:dyDescent="0.25">
      <c r="C186" s="52">
        <v>64000000</v>
      </c>
    </row>
    <row r="187" spans="3:24" x14ac:dyDescent="0.25">
      <c r="C187" s="52">
        <v>11000000</v>
      </c>
    </row>
    <row r="188" spans="3:24" x14ac:dyDescent="0.25">
      <c r="C188" s="52">
        <f>+C186+C187</f>
        <v>75000000</v>
      </c>
    </row>
    <row r="192" spans="3:24" x14ac:dyDescent="0.25">
      <c r="C192" s="52">
        <v>2745000</v>
      </c>
    </row>
    <row r="193" spans="3:3" x14ac:dyDescent="0.25">
      <c r="C193" s="52">
        <v>3185000</v>
      </c>
    </row>
    <row r="194" spans="3:3" x14ac:dyDescent="0.25">
      <c r="C194" s="52">
        <v>1080000</v>
      </c>
    </row>
    <row r="195" spans="3:3" x14ac:dyDescent="0.25">
      <c r="C195" s="52">
        <v>4850100</v>
      </c>
    </row>
    <row r="196" spans="3:3" x14ac:dyDescent="0.25">
      <c r="C196" s="52">
        <v>5027500</v>
      </c>
    </row>
    <row r="197" spans="3:3" x14ac:dyDescent="0.25">
      <c r="C197" s="52">
        <v>4566000</v>
      </c>
    </row>
    <row r="198" spans="3:3" x14ac:dyDescent="0.25">
      <c r="C198" s="52">
        <v>1050000</v>
      </c>
    </row>
    <row r="199" spans="3:3" x14ac:dyDescent="0.25">
      <c r="C199" s="52">
        <v>3877333</v>
      </c>
    </row>
    <row r="200" spans="3:3" x14ac:dyDescent="0.25">
      <c r="C200" s="52">
        <v>6732440</v>
      </c>
    </row>
    <row r="201" spans="3:3" x14ac:dyDescent="0.25">
      <c r="C201" s="52">
        <v>3460000</v>
      </c>
    </row>
    <row r="202" spans="3:3" x14ac:dyDescent="0.25">
      <c r="C202" s="52">
        <v>588800</v>
      </c>
    </row>
    <row r="203" spans="3:3" x14ac:dyDescent="0.25">
      <c r="C203" s="52">
        <v>1868000</v>
      </c>
    </row>
    <row r="204" spans="3:3" x14ac:dyDescent="0.25">
      <c r="C204" s="52">
        <v>10313000</v>
      </c>
    </row>
    <row r="205" spans="3:3" x14ac:dyDescent="0.25">
      <c r="C205" s="52">
        <v>3443800</v>
      </c>
    </row>
    <row r="206" spans="3:3" x14ac:dyDescent="0.25">
      <c r="C206" s="52">
        <v>8136400</v>
      </c>
    </row>
    <row r="207" spans="3:3" x14ac:dyDescent="0.25">
      <c r="C207" s="52">
        <v>9675183</v>
      </c>
    </row>
    <row r="208" spans="3:3" x14ac:dyDescent="0.25">
      <c r="C208" s="52">
        <f>SUM(C192:C207)</f>
        <v>70598556</v>
      </c>
    </row>
  </sheetData>
  <mergeCells count="7">
    <mergeCell ref="D151:X151"/>
    <mergeCell ref="C1:U1"/>
    <mergeCell ref="E2:K2"/>
    <mergeCell ref="L2:T2"/>
    <mergeCell ref="A3:A50"/>
    <mergeCell ref="A51:A115"/>
    <mergeCell ref="E150:Q1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7FD05-8409-4625-8937-CB83B99896A3}">
  <dimension ref="A1:AB202"/>
  <sheetViews>
    <sheetView workbookViewId="0">
      <selection activeCell="L21" sqref="L21"/>
    </sheetView>
  </sheetViews>
  <sheetFormatPr baseColWidth="10" defaultRowHeight="12" x14ac:dyDescent="0.25"/>
  <cols>
    <col min="1" max="1" width="10.42578125" style="45" customWidth="1"/>
    <col min="2" max="2" width="4.85546875" style="45" customWidth="1"/>
    <col min="3" max="3" width="32.7109375" style="52" customWidth="1"/>
    <col min="4" max="4" width="8.5703125" style="45" customWidth="1"/>
    <col min="5" max="5" width="10.85546875" style="47" customWidth="1"/>
    <col min="6" max="6" width="4.42578125" style="47" customWidth="1"/>
    <col min="7" max="7" width="11.28515625" style="47" customWidth="1"/>
    <col min="8" max="8" width="9" style="47" customWidth="1"/>
    <col min="9" max="9" width="10.42578125" style="47" customWidth="1"/>
    <col min="10" max="10" width="9.85546875" style="47" customWidth="1"/>
    <col min="11" max="11" width="11.7109375" style="47" customWidth="1"/>
    <col min="12" max="12" width="9.85546875" style="47" customWidth="1"/>
    <col min="13" max="13" width="10.140625" style="47" customWidth="1"/>
    <col min="14" max="14" width="8.7109375" style="47" customWidth="1"/>
    <col min="15" max="15" width="10.42578125" style="47" customWidth="1"/>
    <col min="16" max="16" width="9.5703125" style="47" customWidth="1"/>
    <col min="17" max="17" width="9" style="47" customWidth="1"/>
    <col min="18" max="18" width="9.42578125" style="47" customWidth="1"/>
    <col min="19" max="19" width="9.85546875" style="47" customWidth="1"/>
    <col min="20" max="20" width="10.42578125" style="47" customWidth="1"/>
    <col min="21" max="21" width="13.42578125" style="45" customWidth="1"/>
    <col min="22" max="22" width="4.42578125" style="45" customWidth="1"/>
    <col min="23" max="23" width="7.28515625" style="56" customWidth="1"/>
    <col min="24" max="24" width="14.28515625" style="45" customWidth="1"/>
    <col min="25" max="246" width="11.42578125" style="45"/>
    <col min="247" max="247" width="10.5703125" style="45" customWidth="1"/>
    <col min="248" max="248" width="4.85546875" style="45" customWidth="1"/>
    <col min="249" max="249" width="32.42578125" style="45" customWidth="1"/>
    <col min="250" max="250" width="9.85546875" style="45" customWidth="1"/>
    <col min="251" max="251" width="10.140625" style="45" customWidth="1"/>
    <col min="252" max="252" width="12.28515625" style="45" customWidth="1"/>
    <col min="253" max="253" width="15.42578125" style="45" customWidth="1"/>
    <col min="254" max="254" width="11.85546875" style="45" customWidth="1"/>
    <col min="255" max="255" width="13.28515625" style="45" customWidth="1"/>
    <col min="256" max="256" width="15.28515625" style="45" customWidth="1"/>
    <col min="257" max="257" width="11.85546875" style="45" customWidth="1"/>
    <col min="258" max="258" width="6.140625" style="45" customWidth="1"/>
    <col min="259" max="259" width="11.85546875" style="45" customWidth="1"/>
    <col min="260" max="260" width="9.42578125" style="45" customWidth="1"/>
    <col min="261" max="261" width="14.7109375" style="45" customWidth="1"/>
    <col min="262" max="262" width="11.5703125" style="45" customWidth="1"/>
    <col min="263" max="263" width="0.42578125" style="45" customWidth="1"/>
    <col min="264" max="264" width="10.5703125" style="45" bestFit="1" customWidth="1"/>
    <col min="265" max="265" width="12.28515625" style="45" customWidth="1"/>
    <col min="266" max="266" width="12.5703125" style="45" customWidth="1"/>
    <col min="267" max="267" width="10.5703125" style="45" customWidth="1"/>
    <col min="268" max="268" width="10.140625" style="45" customWidth="1"/>
    <col min="269" max="269" width="8.42578125" style="45" customWidth="1"/>
    <col min="270" max="270" width="18.85546875" style="45" customWidth="1"/>
    <col min="271" max="271" width="10.28515625" style="45" customWidth="1"/>
    <col min="272" max="272" width="11.42578125" style="45"/>
    <col min="273" max="273" width="12.140625" style="45" customWidth="1"/>
    <col min="274" max="274" width="10.5703125" style="45" customWidth="1"/>
    <col min="275" max="275" width="12.42578125" style="45" customWidth="1"/>
    <col min="276" max="276" width="15.140625" style="45" customWidth="1"/>
    <col min="277" max="277" width="13.5703125" style="45" customWidth="1"/>
    <col min="278" max="278" width="13.140625" style="45" customWidth="1"/>
    <col min="279" max="279" width="15.7109375" style="45" customWidth="1"/>
    <col min="280" max="280" width="37.5703125" style="45" customWidth="1"/>
    <col min="281" max="502" width="11.42578125" style="45"/>
    <col min="503" max="503" width="10.5703125" style="45" customWidth="1"/>
    <col min="504" max="504" width="4.85546875" style="45" customWidth="1"/>
    <col min="505" max="505" width="32.42578125" style="45" customWidth="1"/>
    <col min="506" max="506" width="9.85546875" style="45" customWidth="1"/>
    <col min="507" max="507" width="10.140625" style="45" customWidth="1"/>
    <col min="508" max="508" width="12.28515625" style="45" customWidth="1"/>
    <col min="509" max="509" width="15.42578125" style="45" customWidth="1"/>
    <col min="510" max="510" width="11.85546875" style="45" customWidth="1"/>
    <col min="511" max="511" width="13.28515625" style="45" customWidth="1"/>
    <col min="512" max="512" width="15.28515625" style="45" customWidth="1"/>
    <col min="513" max="513" width="11.85546875" style="45" customWidth="1"/>
    <col min="514" max="514" width="6.140625" style="45" customWidth="1"/>
    <col min="515" max="515" width="11.85546875" style="45" customWidth="1"/>
    <col min="516" max="516" width="9.42578125" style="45" customWidth="1"/>
    <col min="517" max="517" width="14.7109375" style="45" customWidth="1"/>
    <col min="518" max="518" width="11.5703125" style="45" customWidth="1"/>
    <col min="519" max="519" width="0.42578125" style="45" customWidth="1"/>
    <col min="520" max="520" width="10.5703125" style="45" bestFit="1" customWidth="1"/>
    <col min="521" max="521" width="12.28515625" style="45" customWidth="1"/>
    <col min="522" max="522" width="12.5703125" style="45" customWidth="1"/>
    <col min="523" max="523" width="10.5703125" style="45" customWidth="1"/>
    <col min="524" max="524" width="10.140625" style="45" customWidth="1"/>
    <col min="525" max="525" width="8.42578125" style="45" customWidth="1"/>
    <col min="526" max="526" width="18.85546875" style="45" customWidth="1"/>
    <col min="527" max="527" width="10.28515625" style="45" customWidth="1"/>
    <col min="528" max="528" width="11.42578125" style="45"/>
    <col min="529" max="529" width="12.140625" style="45" customWidth="1"/>
    <col min="530" max="530" width="10.5703125" style="45" customWidth="1"/>
    <col min="531" max="531" width="12.42578125" style="45" customWidth="1"/>
    <col min="532" max="532" width="15.140625" style="45" customWidth="1"/>
    <col min="533" max="533" width="13.5703125" style="45" customWidth="1"/>
    <col min="534" max="534" width="13.140625" style="45" customWidth="1"/>
    <col min="535" max="535" width="15.7109375" style="45" customWidth="1"/>
    <col min="536" max="536" width="37.5703125" style="45" customWidth="1"/>
    <col min="537" max="758" width="11.42578125" style="45"/>
    <col min="759" max="759" width="10.5703125" style="45" customWidth="1"/>
    <col min="760" max="760" width="4.85546875" style="45" customWidth="1"/>
    <col min="761" max="761" width="32.42578125" style="45" customWidth="1"/>
    <col min="762" max="762" width="9.85546875" style="45" customWidth="1"/>
    <col min="763" max="763" width="10.140625" style="45" customWidth="1"/>
    <col min="764" max="764" width="12.28515625" style="45" customWidth="1"/>
    <col min="765" max="765" width="15.42578125" style="45" customWidth="1"/>
    <col min="766" max="766" width="11.85546875" style="45" customWidth="1"/>
    <col min="767" max="767" width="13.28515625" style="45" customWidth="1"/>
    <col min="768" max="768" width="15.28515625" style="45" customWidth="1"/>
    <col min="769" max="769" width="11.85546875" style="45" customWidth="1"/>
    <col min="770" max="770" width="6.140625" style="45" customWidth="1"/>
    <col min="771" max="771" width="11.85546875" style="45" customWidth="1"/>
    <col min="772" max="772" width="9.42578125" style="45" customWidth="1"/>
    <col min="773" max="773" width="14.7109375" style="45" customWidth="1"/>
    <col min="774" max="774" width="11.5703125" style="45" customWidth="1"/>
    <col min="775" max="775" width="0.42578125" style="45" customWidth="1"/>
    <col min="776" max="776" width="10.5703125" style="45" bestFit="1" customWidth="1"/>
    <col min="777" max="777" width="12.28515625" style="45" customWidth="1"/>
    <col min="778" max="778" width="12.5703125" style="45" customWidth="1"/>
    <col min="779" max="779" width="10.5703125" style="45" customWidth="1"/>
    <col min="780" max="780" width="10.140625" style="45" customWidth="1"/>
    <col min="781" max="781" width="8.42578125" style="45" customWidth="1"/>
    <col min="782" max="782" width="18.85546875" style="45" customWidth="1"/>
    <col min="783" max="783" width="10.28515625" style="45" customWidth="1"/>
    <col min="784" max="784" width="11.42578125" style="45"/>
    <col min="785" max="785" width="12.140625" style="45" customWidth="1"/>
    <col min="786" max="786" width="10.5703125" style="45" customWidth="1"/>
    <col min="787" max="787" width="12.42578125" style="45" customWidth="1"/>
    <col min="788" max="788" width="15.140625" style="45" customWidth="1"/>
    <col min="789" max="789" width="13.5703125" style="45" customWidth="1"/>
    <col min="790" max="790" width="13.140625" style="45" customWidth="1"/>
    <col min="791" max="791" width="15.7109375" style="45" customWidth="1"/>
    <col min="792" max="792" width="37.5703125" style="45" customWidth="1"/>
    <col min="793" max="1014" width="11.42578125" style="45"/>
    <col min="1015" max="1015" width="10.5703125" style="45" customWidth="1"/>
    <col min="1016" max="1016" width="4.85546875" style="45" customWidth="1"/>
    <col min="1017" max="1017" width="32.42578125" style="45" customWidth="1"/>
    <col min="1018" max="1018" width="9.85546875" style="45" customWidth="1"/>
    <col min="1019" max="1019" width="10.140625" style="45" customWidth="1"/>
    <col min="1020" max="1020" width="12.28515625" style="45" customWidth="1"/>
    <col min="1021" max="1021" width="15.42578125" style="45" customWidth="1"/>
    <col min="1022" max="1022" width="11.85546875" style="45" customWidth="1"/>
    <col min="1023" max="1023" width="13.28515625" style="45" customWidth="1"/>
    <col min="1024" max="1024" width="15.28515625" style="45" customWidth="1"/>
    <col min="1025" max="1025" width="11.85546875" style="45" customWidth="1"/>
    <col min="1026" max="1026" width="6.140625" style="45" customWidth="1"/>
    <col min="1027" max="1027" width="11.85546875" style="45" customWidth="1"/>
    <col min="1028" max="1028" width="9.42578125" style="45" customWidth="1"/>
    <col min="1029" max="1029" width="14.7109375" style="45" customWidth="1"/>
    <col min="1030" max="1030" width="11.5703125" style="45" customWidth="1"/>
    <col min="1031" max="1031" width="0.42578125" style="45" customWidth="1"/>
    <col min="1032" max="1032" width="10.5703125" style="45" bestFit="1" customWidth="1"/>
    <col min="1033" max="1033" width="12.28515625" style="45" customWidth="1"/>
    <col min="1034" max="1034" width="12.5703125" style="45" customWidth="1"/>
    <col min="1035" max="1035" width="10.5703125" style="45" customWidth="1"/>
    <col min="1036" max="1036" width="10.140625" style="45" customWidth="1"/>
    <col min="1037" max="1037" width="8.42578125" style="45" customWidth="1"/>
    <col min="1038" max="1038" width="18.85546875" style="45" customWidth="1"/>
    <col min="1039" max="1039" width="10.28515625" style="45" customWidth="1"/>
    <col min="1040" max="1040" width="11.42578125" style="45"/>
    <col min="1041" max="1041" width="12.140625" style="45" customWidth="1"/>
    <col min="1042" max="1042" width="10.5703125" style="45" customWidth="1"/>
    <col min="1043" max="1043" width="12.42578125" style="45" customWidth="1"/>
    <col min="1044" max="1044" width="15.140625" style="45" customWidth="1"/>
    <col min="1045" max="1045" width="13.5703125" style="45" customWidth="1"/>
    <col min="1046" max="1046" width="13.140625" style="45" customWidth="1"/>
    <col min="1047" max="1047" width="15.7109375" style="45" customWidth="1"/>
    <col min="1048" max="1048" width="37.5703125" style="45" customWidth="1"/>
    <col min="1049" max="1270" width="11.42578125" style="45"/>
    <col min="1271" max="1271" width="10.5703125" style="45" customWidth="1"/>
    <col min="1272" max="1272" width="4.85546875" style="45" customWidth="1"/>
    <col min="1273" max="1273" width="32.42578125" style="45" customWidth="1"/>
    <col min="1274" max="1274" width="9.85546875" style="45" customWidth="1"/>
    <col min="1275" max="1275" width="10.140625" style="45" customWidth="1"/>
    <col min="1276" max="1276" width="12.28515625" style="45" customWidth="1"/>
    <col min="1277" max="1277" width="15.42578125" style="45" customWidth="1"/>
    <col min="1278" max="1278" width="11.85546875" style="45" customWidth="1"/>
    <col min="1279" max="1279" width="13.28515625" style="45" customWidth="1"/>
    <col min="1280" max="1280" width="15.28515625" style="45" customWidth="1"/>
    <col min="1281" max="1281" width="11.85546875" style="45" customWidth="1"/>
    <col min="1282" max="1282" width="6.140625" style="45" customWidth="1"/>
    <col min="1283" max="1283" width="11.85546875" style="45" customWidth="1"/>
    <col min="1284" max="1284" width="9.42578125" style="45" customWidth="1"/>
    <col min="1285" max="1285" width="14.7109375" style="45" customWidth="1"/>
    <col min="1286" max="1286" width="11.5703125" style="45" customWidth="1"/>
    <col min="1287" max="1287" width="0.42578125" style="45" customWidth="1"/>
    <col min="1288" max="1288" width="10.5703125" style="45" bestFit="1" customWidth="1"/>
    <col min="1289" max="1289" width="12.28515625" style="45" customWidth="1"/>
    <col min="1290" max="1290" width="12.5703125" style="45" customWidth="1"/>
    <col min="1291" max="1291" width="10.5703125" style="45" customWidth="1"/>
    <col min="1292" max="1292" width="10.140625" style="45" customWidth="1"/>
    <col min="1293" max="1293" width="8.42578125" style="45" customWidth="1"/>
    <col min="1294" max="1294" width="18.85546875" style="45" customWidth="1"/>
    <col min="1295" max="1295" width="10.28515625" style="45" customWidth="1"/>
    <col min="1296" max="1296" width="11.42578125" style="45"/>
    <col min="1297" max="1297" width="12.140625" style="45" customWidth="1"/>
    <col min="1298" max="1298" width="10.5703125" style="45" customWidth="1"/>
    <col min="1299" max="1299" width="12.42578125" style="45" customWidth="1"/>
    <col min="1300" max="1300" width="15.140625" style="45" customWidth="1"/>
    <col min="1301" max="1301" width="13.5703125" style="45" customWidth="1"/>
    <col min="1302" max="1302" width="13.140625" style="45" customWidth="1"/>
    <col min="1303" max="1303" width="15.7109375" style="45" customWidth="1"/>
    <col min="1304" max="1304" width="37.5703125" style="45" customWidth="1"/>
    <col min="1305" max="1526" width="11.42578125" style="45"/>
    <col min="1527" max="1527" width="10.5703125" style="45" customWidth="1"/>
    <col min="1528" max="1528" width="4.85546875" style="45" customWidth="1"/>
    <col min="1529" max="1529" width="32.42578125" style="45" customWidth="1"/>
    <col min="1530" max="1530" width="9.85546875" style="45" customWidth="1"/>
    <col min="1531" max="1531" width="10.140625" style="45" customWidth="1"/>
    <col min="1532" max="1532" width="12.28515625" style="45" customWidth="1"/>
    <col min="1533" max="1533" width="15.42578125" style="45" customWidth="1"/>
    <col min="1534" max="1534" width="11.85546875" style="45" customWidth="1"/>
    <col min="1535" max="1535" width="13.28515625" style="45" customWidth="1"/>
    <col min="1536" max="1536" width="15.28515625" style="45" customWidth="1"/>
    <col min="1537" max="1537" width="11.85546875" style="45" customWidth="1"/>
    <col min="1538" max="1538" width="6.140625" style="45" customWidth="1"/>
    <col min="1539" max="1539" width="11.85546875" style="45" customWidth="1"/>
    <col min="1540" max="1540" width="9.42578125" style="45" customWidth="1"/>
    <col min="1541" max="1541" width="14.7109375" style="45" customWidth="1"/>
    <col min="1542" max="1542" width="11.5703125" style="45" customWidth="1"/>
    <col min="1543" max="1543" width="0.42578125" style="45" customWidth="1"/>
    <col min="1544" max="1544" width="10.5703125" style="45" bestFit="1" customWidth="1"/>
    <col min="1545" max="1545" width="12.28515625" style="45" customWidth="1"/>
    <col min="1546" max="1546" width="12.5703125" style="45" customWidth="1"/>
    <col min="1547" max="1547" width="10.5703125" style="45" customWidth="1"/>
    <col min="1548" max="1548" width="10.140625" style="45" customWidth="1"/>
    <col min="1549" max="1549" width="8.42578125" style="45" customWidth="1"/>
    <col min="1550" max="1550" width="18.85546875" style="45" customWidth="1"/>
    <col min="1551" max="1551" width="10.28515625" style="45" customWidth="1"/>
    <col min="1552" max="1552" width="11.42578125" style="45"/>
    <col min="1553" max="1553" width="12.140625" style="45" customWidth="1"/>
    <col min="1554" max="1554" width="10.5703125" style="45" customWidth="1"/>
    <col min="1555" max="1555" width="12.42578125" style="45" customWidth="1"/>
    <col min="1556" max="1556" width="15.140625" style="45" customWidth="1"/>
    <col min="1557" max="1557" width="13.5703125" style="45" customWidth="1"/>
    <col min="1558" max="1558" width="13.140625" style="45" customWidth="1"/>
    <col min="1559" max="1559" width="15.7109375" style="45" customWidth="1"/>
    <col min="1560" max="1560" width="37.5703125" style="45" customWidth="1"/>
    <col min="1561" max="1782" width="11.42578125" style="45"/>
    <col min="1783" max="1783" width="10.5703125" style="45" customWidth="1"/>
    <col min="1784" max="1784" width="4.85546875" style="45" customWidth="1"/>
    <col min="1785" max="1785" width="32.42578125" style="45" customWidth="1"/>
    <col min="1786" max="1786" width="9.85546875" style="45" customWidth="1"/>
    <col min="1787" max="1787" width="10.140625" style="45" customWidth="1"/>
    <col min="1788" max="1788" width="12.28515625" style="45" customWidth="1"/>
    <col min="1789" max="1789" width="15.42578125" style="45" customWidth="1"/>
    <col min="1790" max="1790" width="11.85546875" style="45" customWidth="1"/>
    <col min="1791" max="1791" width="13.28515625" style="45" customWidth="1"/>
    <col min="1792" max="1792" width="15.28515625" style="45" customWidth="1"/>
    <col min="1793" max="1793" width="11.85546875" style="45" customWidth="1"/>
    <col min="1794" max="1794" width="6.140625" style="45" customWidth="1"/>
    <col min="1795" max="1795" width="11.85546875" style="45" customWidth="1"/>
    <col min="1796" max="1796" width="9.42578125" style="45" customWidth="1"/>
    <col min="1797" max="1797" width="14.7109375" style="45" customWidth="1"/>
    <col min="1798" max="1798" width="11.5703125" style="45" customWidth="1"/>
    <col min="1799" max="1799" width="0.42578125" style="45" customWidth="1"/>
    <col min="1800" max="1800" width="10.5703125" style="45" bestFit="1" customWidth="1"/>
    <col min="1801" max="1801" width="12.28515625" style="45" customWidth="1"/>
    <col min="1802" max="1802" width="12.5703125" style="45" customWidth="1"/>
    <col min="1803" max="1803" width="10.5703125" style="45" customWidth="1"/>
    <col min="1804" max="1804" width="10.140625" style="45" customWidth="1"/>
    <col min="1805" max="1805" width="8.42578125" style="45" customWidth="1"/>
    <col min="1806" max="1806" width="18.85546875" style="45" customWidth="1"/>
    <col min="1807" max="1807" width="10.28515625" style="45" customWidth="1"/>
    <col min="1808" max="1808" width="11.42578125" style="45"/>
    <col min="1809" max="1809" width="12.140625" style="45" customWidth="1"/>
    <col min="1810" max="1810" width="10.5703125" style="45" customWidth="1"/>
    <col min="1811" max="1811" width="12.42578125" style="45" customWidth="1"/>
    <col min="1812" max="1812" width="15.140625" style="45" customWidth="1"/>
    <col min="1813" max="1813" width="13.5703125" style="45" customWidth="1"/>
    <col min="1814" max="1814" width="13.140625" style="45" customWidth="1"/>
    <col min="1815" max="1815" width="15.7109375" style="45" customWidth="1"/>
    <col min="1816" max="1816" width="37.5703125" style="45" customWidth="1"/>
    <col min="1817" max="2038" width="11.42578125" style="45"/>
    <col min="2039" max="2039" width="10.5703125" style="45" customWidth="1"/>
    <col min="2040" max="2040" width="4.85546875" style="45" customWidth="1"/>
    <col min="2041" max="2041" width="32.42578125" style="45" customWidth="1"/>
    <col min="2042" max="2042" width="9.85546875" style="45" customWidth="1"/>
    <col min="2043" max="2043" width="10.140625" style="45" customWidth="1"/>
    <col min="2044" max="2044" width="12.28515625" style="45" customWidth="1"/>
    <col min="2045" max="2045" width="15.42578125" style="45" customWidth="1"/>
    <col min="2046" max="2046" width="11.85546875" style="45" customWidth="1"/>
    <col min="2047" max="2047" width="13.28515625" style="45" customWidth="1"/>
    <col min="2048" max="2048" width="15.28515625" style="45" customWidth="1"/>
    <col min="2049" max="2049" width="11.85546875" style="45" customWidth="1"/>
    <col min="2050" max="2050" width="6.140625" style="45" customWidth="1"/>
    <col min="2051" max="2051" width="11.85546875" style="45" customWidth="1"/>
    <col min="2052" max="2052" width="9.42578125" style="45" customWidth="1"/>
    <col min="2053" max="2053" width="14.7109375" style="45" customWidth="1"/>
    <col min="2054" max="2054" width="11.5703125" style="45" customWidth="1"/>
    <col min="2055" max="2055" width="0.42578125" style="45" customWidth="1"/>
    <col min="2056" max="2056" width="10.5703125" style="45" bestFit="1" customWidth="1"/>
    <col min="2057" max="2057" width="12.28515625" style="45" customWidth="1"/>
    <col min="2058" max="2058" width="12.5703125" style="45" customWidth="1"/>
    <col min="2059" max="2059" width="10.5703125" style="45" customWidth="1"/>
    <col min="2060" max="2060" width="10.140625" style="45" customWidth="1"/>
    <col min="2061" max="2061" width="8.42578125" style="45" customWidth="1"/>
    <col min="2062" max="2062" width="18.85546875" style="45" customWidth="1"/>
    <col min="2063" max="2063" width="10.28515625" style="45" customWidth="1"/>
    <col min="2064" max="2064" width="11.42578125" style="45"/>
    <col min="2065" max="2065" width="12.140625" style="45" customWidth="1"/>
    <col min="2066" max="2066" width="10.5703125" style="45" customWidth="1"/>
    <col min="2067" max="2067" width="12.42578125" style="45" customWidth="1"/>
    <col min="2068" max="2068" width="15.140625" style="45" customWidth="1"/>
    <col min="2069" max="2069" width="13.5703125" style="45" customWidth="1"/>
    <col min="2070" max="2070" width="13.140625" style="45" customWidth="1"/>
    <col min="2071" max="2071" width="15.7109375" style="45" customWidth="1"/>
    <col min="2072" max="2072" width="37.5703125" style="45" customWidth="1"/>
    <col min="2073" max="2294" width="11.42578125" style="45"/>
    <col min="2295" max="2295" width="10.5703125" style="45" customWidth="1"/>
    <col min="2296" max="2296" width="4.85546875" style="45" customWidth="1"/>
    <col min="2297" max="2297" width="32.42578125" style="45" customWidth="1"/>
    <col min="2298" max="2298" width="9.85546875" style="45" customWidth="1"/>
    <col min="2299" max="2299" width="10.140625" style="45" customWidth="1"/>
    <col min="2300" max="2300" width="12.28515625" style="45" customWidth="1"/>
    <col min="2301" max="2301" width="15.42578125" style="45" customWidth="1"/>
    <col min="2302" max="2302" width="11.85546875" style="45" customWidth="1"/>
    <col min="2303" max="2303" width="13.28515625" style="45" customWidth="1"/>
    <col min="2304" max="2304" width="15.28515625" style="45" customWidth="1"/>
    <col min="2305" max="2305" width="11.85546875" style="45" customWidth="1"/>
    <col min="2306" max="2306" width="6.140625" style="45" customWidth="1"/>
    <col min="2307" max="2307" width="11.85546875" style="45" customWidth="1"/>
    <col min="2308" max="2308" width="9.42578125" style="45" customWidth="1"/>
    <col min="2309" max="2309" width="14.7109375" style="45" customWidth="1"/>
    <col min="2310" max="2310" width="11.5703125" style="45" customWidth="1"/>
    <col min="2311" max="2311" width="0.42578125" style="45" customWidth="1"/>
    <col min="2312" max="2312" width="10.5703125" style="45" bestFit="1" customWidth="1"/>
    <col min="2313" max="2313" width="12.28515625" style="45" customWidth="1"/>
    <col min="2314" max="2314" width="12.5703125" style="45" customWidth="1"/>
    <col min="2315" max="2315" width="10.5703125" style="45" customWidth="1"/>
    <col min="2316" max="2316" width="10.140625" style="45" customWidth="1"/>
    <col min="2317" max="2317" width="8.42578125" style="45" customWidth="1"/>
    <col min="2318" max="2318" width="18.85546875" style="45" customWidth="1"/>
    <col min="2319" max="2319" width="10.28515625" style="45" customWidth="1"/>
    <col min="2320" max="2320" width="11.42578125" style="45"/>
    <col min="2321" max="2321" width="12.140625" style="45" customWidth="1"/>
    <col min="2322" max="2322" width="10.5703125" style="45" customWidth="1"/>
    <col min="2323" max="2323" width="12.42578125" style="45" customWidth="1"/>
    <col min="2324" max="2324" width="15.140625" style="45" customWidth="1"/>
    <col min="2325" max="2325" width="13.5703125" style="45" customWidth="1"/>
    <col min="2326" max="2326" width="13.140625" style="45" customWidth="1"/>
    <col min="2327" max="2327" width="15.7109375" style="45" customWidth="1"/>
    <col min="2328" max="2328" width="37.5703125" style="45" customWidth="1"/>
    <col min="2329" max="2550" width="11.42578125" style="45"/>
    <col min="2551" max="2551" width="10.5703125" style="45" customWidth="1"/>
    <col min="2552" max="2552" width="4.85546875" style="45" customWidth="1"/>
    <col min="2553" max="2553" width="32.42578125" style="45" customWidth="1"/>
    <col min="2554" max="2554" width="9.85546875" style="45" customWidth="1"/>
    <col min="2555" max="2555" width="10.140625" style="45" customWidth="1"/>
    <col min="2556" max="2556" width="12.28515625" style="45" customWidth="1"/>
    <col min="2557" max="2557" width="15.42578125" style="45" customWidth="1"/>
    <col min="2558" max="2558" width="11.85546875" style="45" customWidth="1"/>
    <col min="2559" max="2559" width="13.28515625" style="45" customWidth="1"/>
    <col min="2560" max="2560" width="15.28515625" style="45" customWidth="1"/>
    <col min="2561" max="2561" width="11.85546875" style="45" customWidth="1"/>
    <col min="2562" max="2562" width="6.140625" style="45" customWidth="1"/>
    <col min="2563" max="2563" width="11.85546875" style="45" customWidth="1"/>
    <col min="2564" max="2564" width="9.42578125" style="45" customWidth="1"/>
    <col min="2565" max="2565" width="14.7109375" style="45" customWidth="1"/>
    <col min="2566" max="2566" width="11.5703125" style="45" customWidth="1"/>
    <col min="2567" max="2567" width="0.42578125" style="45" customWidth="1"/>
    <col min="2568" max="2568" width="10.5703125" style="45" bestFit="1" customWidth="1"/>
    <col min="2569" max="2569" width="12.28515625" style="45" customWidth="1"/>
    <col min="2570" max="2570" width="12.5703125" style="45" customWidth="1"/>
    <col min="2571" max="2571" width="10.5703125" style="45" customWidth="1"/>
    <col min="2572" max="2572" width="10.140625" style="45" customWidth="1"/>
    <col min="2573" max="2573" width="8.42578125" style="45" customWidth="1"/>
    <col min="2574" max="2574" width="18.85546875" style="45" customWidth="1"/>
    <col min="2575" max="2575" width="10.28515625" style="45" customWidth="1"/>
    <col min="2576" max="2576" width="11.42578125" style="45"/>
    <col min="2577" max="2577" width="12.140625" style="45" customWidth="1"/>
    <col min="2578" max="2578" width="10.5703125" style="45" customWidth="1"/>
    <col min="2579" max="2579" width="12.42578125" style="45" customWidth="1"/>
    <col min="2580" max="2580" width="15.140625" style="45" customWidth="1"/>
    <col min="2581" max="2581" width="13.5703125" style="45" customWidth="1"/>
    <col min="2582" max="2582" width="13.140625" style="45" customWidth="1"/>
    <col min="2583" max="2583" width="15.7109375" style="45" customWidth="1"/>
    <col min="2584" max="2584" width="37.5703125" style="45" customWidth="1"/>
    <col min="2585" max="2806" width="11.42578125" style="45"/>
    <col min="2807" max="2807" width="10.5703125" style="45" customWidth="1"/>
    <col min="2808" max="2808" width="4.85546875" style="45" customWidth="1"/>
    <col min="2809" max="2809" width="32.42578125" style="45" customWidth="1"/>
    <col min="2810" max="2810" width="9.85546875" style="45" customWidth="1"/>
    <col min="2811" max="2811" width="10.140625" style="45" customWidth="1"/>
    <col min="2812" max="2812" width="12.28515625" style="45" customWidth="1"/>
    <col min="2813" max="2813" width="15.42578125" style="45" customWidth="1"/>
    <col min="2814" max="2814" width="11.85546875" style="45" customWidth="1"/>
    <col min="2815" max="2815" width="13.28515625" style="45" customWidth="1"/>
    <col min="2816" max="2816" width="15.28515625" style="45" customWidth="1"/>
    <col min="2817" max="2817" width="11.85546875" style="45" customWidth="1"/>
    <col min="2818" max="2818" width="6.140625" style="45" customWidth="1"/>
    <col min="2819" max="2819" width="11.85546875" style="45" customWidth="1"/>
    <col min="2820" max="2820" width="9.42578125" style="45" customWidth="1"/>
    <col min="2821" max="2821" width="14.7109375" style="45" customWidth="1"/>
    <col min="2822" max="2822" width="11.5703125" style="45" customWidth="1"/>
    <col min="2823" max="2823" width="0.42578125" style="45" customWidth="1"/>
    <col min="2824" max="2824" width="10.5703125" style="45" bestFit="1" customWidth="1"/>
    <col min="2825" max="2825" width="12.28515625" style="45" customWidth="1"/>
    <col min="2826" max="2826" width="12.5703125" style="45" customWidth="1"/>
    <col min="2827" max="2827" width="10.5703125" style="45" customWidth="1"/>
    <col min="2828" max="2828" width="10.140625" style="45" customWidth="1"/>
    <col min="2829" max="2829" width="8.42578125" style="45" customWidth="1"/>
    <col min="2830" max="2830" width="18.85546875" style="45" customWidth="1"/>
    <col min="2831" max="2831" width="10.28515625" style="45" customWidth="1"/>
    <col min="2832" max="2832" width="11.42578125" style="45"/>
    <col min="2833" max="2833" width="12.140625" style="45" customWidth="1"/>
    <col min="2834" max="2834" width="10.5703125" style="45" customWidth="1"/>
    <col min="2835" max="2835" width="12.42578125" style="45" customWidth="1"/>
    <col min="2836" max="2836" width="15.140625" style="45" customWidth="1"/>
    <col min="2837" max="2837" width="13.5703125" style="45" customWidth="1"/>
    <col min="2838" max="2838" width="13.140625" style="45" customWidth="1"/>
    <col min="2839" max="2839" width="15.7109375" style="45" customWidth="1"/>
    <col min="2840" max="2840" width="37.5703125" style="45" customWidth="1"/>
    <col min="2841" max="3062" width="11.42578125" style="45"/>
    <col min="3063" max="3063" width="10.5703125" style="45" customWidth="1"/>
    <col min="3064" max="3064" width="4.85546875" style="45" customWidth="1"/>
    <col min="3065" max="3065" width="32.42578125" style="45" customWidth="1"/>
    <col min="3066" max="3066" width="9.85546875" style="45" customWidth="1"/>
    <col min="3067" max="3067" width="10.140625" style="45" customWidth="1"/>
    <col min="3068" max="3068" width="12.28515625" style="45" customWidth="1"/>
    <col min="3069" max="3069" width="15.42578125" style="45" customWidth="1"/>
    <col min="3070" max="3070" width="11.85546875" style="45" customWidth="1"/>
    <col min="3071" max="3071" width="13.28515625" style="45" customWidth="1"/>
    <col min="3072" max="3072" width="15.28515625" style="45" customWidth="1"/>
    <col min="3073" max="3073" width="11.85546875" style="45" customWidth="1"/>
    <col min="3074" max="3074" width="6.140625" style="45" customWidth="1"/>
    <col min="3075" max="3075" width="11.85546875" style="45" customWidth="1"/>
    <col min="3076" max="3076" width="9.42578125" style="45" customWidth="1"/>
    <col min="3077" max="3077" width="14.7109375" style="45" customWidth="1"/>
    <col min="3078" max="3078" width="11.5703125" style="45" customWidth="1"/>
    <col min="3079" max="3079" width="0.42578125" style="45" customWidth="1"/>
    <col min="3080" max="3080" width="10.5703125" style="45" bestFit="1" customWidth="1"/>
    <col min="3081" max="3081" width="12.28515625" style="45" customWidth="1"/>
    <col min="3082" max="3082" width="12.5703125" style="45" customWidth="1"/>
    <col min="3083" max="3083" width="10.5703125" style="45" customWidth="1"/>
    <col min="3084" max="3084" width="10.140625" style="45" customWidth="1"/>
    <col min="3085" max="3085" width="8.42578125" style="45" customWidth="1"/>
    <col min="3086" max="3086" width="18.85546875" style="45" customWidth="1"/>
    <col min="3087" max="3087" width="10.28515625" style="45" customWidth="1"/>
    <col min="3088" max="3088" width="11.42578125" style="45"/>
    <col min="3089" max="3089" width="12.140625" style="45" customWidth="1"/>
    <col min="3090" max="3090" width="10.5703125" style="45" customWidth="1"/>
    <col min="3091" max="3091" width="12.42578125" style="45" customWidth="1"/>
    <col min="3092" max="3092" width="15.140625" style="45" customWidth="1"/>
    <col min="3093" max="3093" width="13.5703125" style="45" customWidth="1"/>
    <col min="3094" max="3094" width="13.140625" style="45" customWidth="1"/>
    <col min="3095" max="3095" width="15.7109375" style="45" customWidth="1"/>
    <col min="3096" max="3096" width="37.5703125" style="45" customWidth="1"/>
    <col min="3097" max="3318" width="11.42578125" style="45"/>
    <col min="3319" max="3319" width="10.5703125" style="45" customWidth="1"/>
    <col min="3320" max="3320" width="4.85546875" style="45" customWidth="1"/>
    <col min="3321" max="3321" width="32.42578125" style="45" customWidth="1"/>
    <col min="3322" max="3322" width="9.85546875" style="45" customWidth="1"/>
    <col min="3323" max="3323" width="10.140625" style="45" customWidth="1"/>
    <col min="3324" max="3324" width="12.28515625" style="45" customWidth="1"/>
    <col min="3325" max="3325" width="15.42578125" style="45" customWidth="1"/>
    <col min="3326" max="3326" width="11.85546875" style="45" customWidth="1"/>
    <col min="3327" max="3327" width="13.28515625" style="45" customWidth="1"/>
    <col min="3328" max="3328" width="15.28515625" style="45" customWidth="1"/>
    <col min="3329" max="3329" width="11.85546875" style="45" customWidth="1"/>
    <col min="3330" max="3330" width="6.140625" style="45" customWidth="1"/>
    <col min="3331" max="3331" width="11.85546875" style="45" customWidth="1"/>
    <col min="3332" max="3332" width="9.42578125" style="45" customWidth="1"/>
    <col min="3333" max="3333" width="14.7109375" style="45" customWidth="1"/>
    <col min="3334" max="3334" width="11.5703125" style="45" customWidth="1"/>
    <col min="3335" max="3335" width="0.42578125" style="45" customWidth="1"/>
    <col min="3336" max="3336" width="10.5703125" style="45" bestFit="1" customWidth="1"/>
    <col min="3337" max="3337" width="12.28515625" style="45" customWidth="1"/>
    <col min="3338" max="3338" width="12.5703125" style="45" customWidth="1"/>
    <col min="3339" max="3339" width="10.5703125" style="45" customWidth="1"/>
    <col min="3340" max="3340" width="10.140625" style="45" customWidth="1"/>
    <col min="3341" max="3341" width="8.42578125" style="45" customWidth="1"/>
    <col min="3342" max="3342" width="18.85546875" style="45" customWidth="1"/>
    <col min="3343" max="3343" width="10.28515625" style="45" customWidth="1"/>
    <col min="3344" max="3344" width="11.42578125" style="45"/>
    <col min="3345" max="3345" width="12.140625" style="45" customWidth="1"/>
    <col min="3346" max="3346" width="10.5703125" style="45" customWidth="1"/>
    <col min="3347" max="3347" width="12.42578125" style="45" customWidth="1"/>
    <col min="3348" max="3348" width="15.140625" style="45" customWidth="1"/>
    <col min="3349" max="3349" width="13.5703125" style="45" customWidth="1"/>
    <col min="3350" max="3350" width="13.140625" style="45" customWidth="1"/>
    <col min="3351" max="3351" width="15.7109375" style="45" customWidth="1"/>
    <col min="3352" max="3352" width="37.5703125" style="45" customWidth="1"/>
    <col min="3353" max="3574" width="11.42578125" style="45"/>
    <col min="3575" max="3575" width="10.5703125" style="45" customWidth="1"/>
    <col min="3576" max="3576" width="4.85546875" style="45" customWidth="1"/>
    <col min="3577" max="3577" width="32.42578125" style="45" customWidth="1"/>
    <col min="3578" max="3578" width="9.85546875" style="45" customWidth="1"/>
    <col min="3579" max="3579" width="10.140625" style="45" customWidth="1"/>
    <col min="3580" max="3580" width="12.28515625" style="45" customWidth="1"/>
    <col min="3581" max="3581" width="15.42578125" style="45" customWidth="1"/>
    <col min="3582" max="3582" width="11.85546875" style="45" customWidth="1"/>
    <col min="3583" max="3583" width="13.28515625" style="45" customWidth="1"/>
    <col min="3584" max="3584" width="15.28515625" style="45" customWidth="1"/>
    <col min="3585" max="3585" width="11.85546875" style="45" customWidth="1"/>
    <col min="3586" max="3586" width="6.140625" style="45" customWidth="1"/>
    <col min="3587" max="3587" width="11.85546875" style="45" customWidth="1"/>
    <col min="3588" max="3588" width="9.42578125" style="45" customWidth="1"/>
    <col min="3589" max="3589" width="14.7109375" style="45" customWidth="1"/>
    <col min="3590" max="3590" width="11.5703125" style="45" customWidth="1"/>
    <col min="3591" max="3591" width="0.42578125" style="45" customWidth="1"/>
    <col min="3592" max="3592" width="10.5703125" style="45" bestFit="1" customWidth="1"/>
    <col min="3593" max="3593" width="12.28515625" style="45" customWidth="1"/>
    <col min="3594" max="3594" width="12.5703125" style="45" customWidth="1"/>
    <col min="3595" max="3595" width="10.5703125" style="45" customWidth="1"/>
    <col min="3596" max="3596" width="10.140625" style="45" customWidth="1"/>
    <col min="3597" max="3597" width="8.42578125" style="45" customWidth="1"/>
    <col min="3598" max="3598" width="18.85546875" style="45" customWidth="1"/>
    <col min="3599" max="3599" width="10.28515625" style="45" customWidth="1"/>
    <col min="3600" max="3600" width="11.42578125" style="45"/>
    <col min="3601" max="3601" width="12.140625" style="45" customWidth="1"/>
    <col min="3602" max="3602" width="10.5703125" style="45" customWidth="1"/>
    <col min="3603" max="3603" width="12.42578125" style="45" customWidth="1"/>
    <col min="3604" max="3604" width="15.140625" style="45" customWidth="1"/>
    <col min="3605" max="3605" width="13.5703125" style="45" customWidth="1"/>
    <col min="3606" max="3606" width="13.140625" style="45" customWidth="1"/>
    <col min="3607" max="3607" width="15.7109375" style="45" customWidth="1"/>
    <col min="3608" max="3608" width="37.5703125" style="45" customWidth="1"/>
    <col min="3609" max="3830" width="11.42578125" style="45"/>
    <col min="3831" max="3831" width="10.5703125" style="45" customWidth="1"/>
    <col min="3832" max="3832" width="4.85546875" style="45" customWidth="1"/>
    <col min="3833" max="3833" width="32.42578125" style="45" customWidth="1"/>
    <col min="3834" max="3834" width="9.85546875" style="45" customWidth="1"/>
    <col min="3835" max="3835" width="10.140625" style="45" customWidth="1"/>
    <col min="3836" max="3836" width="12.28515625" style="45" customWidth="1"/>
    <col min="3837" max="3837" width="15.42578125" style="45" customWidth="1"/>
    <col min="3838" max="3838" width="11.85546875" style="45" customWidth="1"/>
    <col min="3839" max="3839" width="13.28515625" style="45" customWidth="1"/>
    <col min="3840" max="3840" width="15.28515625" style="45" customWidth="1"/>
    <col min="3841" max="3841" width="11.85546875" style="45" customWidth="1"/>
    <col min="3842" max="3842" width="6.140625" style="45" customWidth="1"/>
    <col min="3843" max="3843" width="11.85546875" style="45" customWidth="1"/>
    <col min="3844" max="3844" width="9.42578125" style="45" customWidth="1"/>
    <col min="3845" max="3845" width="14.7109375" style="45" customWidth="1"/>
    <col min="3846" max="3846" width="11.5703125" style="45" customWidth="1"/>
    <col min="3847" max="3847" width="0.42578125" style="45" customWidth="1"/>
    <col min="3848" max="3848" width="10.5703125" style="45" bestFit="1" customWidth="1"/>
    <col min="3849" max="3849" width="12.28515625" style="45" customWidth="1"/>
    <col min="3850" max="3850" width="12.5703125" style="45" customWidth="1"/>
    <col min="3851" max="3851" width="10.5703125" style="45" customWidth="1"/>
    <col min="3852" max="3852" width="10.140625" style="45" customWidth="1"/>
    <col min="3853" max="3853" width="8.42578125" style="45" customWidth="1"/>
    <col min="3854" max="3854" width="18.85546875" style="45" customWidth="1"/>
    <col min="3855" max="3855" width="10.28515625" style="45" customWidth="1"/>
    <col min="3856" max="3856" width="11.42578125" style="45"/>
    <col min="3857" max="3857" width="12.140625" style="45" customWidth="1"/>
    <col min="3858" max="3858" width="10.5703125" style="45" customWidth="1"/>
    <col min="3859" max="3859" width="12.42578125" style="45" customWidth="1"/>
    <col min="3860" max="3860" width="15.140625" style="45" customWidth="1"/>
    <col min="3861" max="3861" width="13.5703125" style="45" customWidth="1"/>
    <col min="3862" max="3862" width="13.140625" style="45" customWidth="1"/>
    <col min="3863" max="3863" width="15.7109375" style="45" customWidth="1"/>
    <col min="3864" max="3864" width="37.5703125" style="45" customWidth="1"/>
    <col min="3865" max="4086" width="11.42578125" style="45"/>
    <col min="4087" max="4087" width="10.5703125" style="45" customWidth="1"/>
    <col min="4088" max="4088" width="4.85546875" style="45" customWidth="1"/>
    <col min="4089" max="4089" width="32.42578125" style="45" customWidth="1"/>
    <col min="4090" max="4090" width="9.85546875" style="45" customWidth="1"/>
    <col min="4091" max="4091" width="10.140625" style="45" customWidth="1"/>
    <col min="4092" max="4092" width="12.28515625" style="45" customWidth="1"/>
    <col min="4093" max="4093" width="15.42578125" style="45" customWidth="1"/>
    <col min="4094" max="4094" width="11.85546875" style="45" customWidth="1"/>
    <col min="4095" max="4095" width="13.28515625" style="45" customWidth="1"/>
    <col min="4096" max="4096" width="15.28515625" style="45" customWidth="1"/>
    <col min="4097" max="4097" width="11.85546875" style="45" customWidth="1"/>
    <col min="4098" max="4098" width="6.140625" style="45" customWidth="1"/>
    <col min="4099" max="4099" width="11.85546875" style="45" customWidth="1"/>
    <col min="4100" max="4100" width="9.42578125" style="45" customWidth="1"/>
    <col min="4101" max="4101" width="14.7109375" style="45" customWidth="1"/>
    <col min="4102" max="4102" width="11.5703125" style="45" customWidth="1"/>
    <col min="4103" max="4103" width="0.42578125" style="45" customWidth="1"/>
    <col min="4104" max="4104" width="10.5703125" style="45" bestFit="1" customWidth="1"/>
    <col min="4105" max="4105" width="12.28515625" style="45" customWidth="1"/>
    <col min="4106" max="4106" width="12.5703125" style="45" customWidth="1"/>
    <col min="4107" max="4107" width="10.5703125" style="45" customWidth="1"/>
    <col min="4108" max="4108" width="10.140625" style="45" customWidth="1"/>
    <col min="4109" max="4109" width="8.42578125" style="45" customWidth="1"/>
    <col min="4110" max="4110" width="18.85546875" style="45" customWidth="1"/>
    <col min="4111" max="4111" width="10.28515625" style="45" customWidth="1"/>
    <col min="4112" max="4112" width="11.42578125" style="45"/>
    <col min="4113" max="4113" width="12.140625" style="45" customWidth="1"/>
    <col min="4114" max="4114" width="10.5703125" style="45" customWidth="1"/>
    <col min="4115" max="4115" width="12.42578125" style="45" customWidth="1"/>
    <col min="4116" max="4116" width="15.140625" style="45" customWidth="1"/>
    <col min="4117" max="4117" width="13.5703125" style="45" customWidth="1"/>
    <col min="4118" max="4118" width="13.140625" style="45" customWidth="1"/>
    <col min="4119" max="4119" width="15.7109375" style="45" customWidth="1"/>
    <col min="4120" max="4120" width="37.5703125" style="45" customWidth="1"/>
    <col min="4121" max="4342" width="11.42578125" style="45"/>
    <col min="4343" max="4343" width="10.5703125" style="45" customWidth="1"/>
    <col min="4344" max="4344" width="4.85546875" style="45" customWidth="1"/>
    <col min="4345" max="4345" width="32.42578125" style="45" customWidth="1"/>
    <col min="4346" max="4346" width="9.85546875" style="45" customWidth="1"/>
    <col min="4347" max="4347" width="10.140625" style="45" customWidth="1"/>
    <col min="4348" max="4348" width="12.28515625" style="45" customWidth="1"/>
    <col min="4349" max="4349" width="15.42578125" style="45" customWidth="1"/>
    <col min="4350" max="4350" width="11.85546875" style="45" customWidth="1"/>
    <col min="4351" max="4351" width="13.28515625" style="45" customWidth="1"/>
    <col min="4352" max="4352" width="15.28515625" style="45" customWidth="1"/>
    <col min="4353" max="4353" width="11.85546875" style="45" customWidth="1"/>
    <col min="4354" max="4354" width="6.140625" style="45" customWidth="1"/>
    <col min="4355" max="4355" width="11.85546875" style="45" customWidth="1"/>
    <col min="4356" max="4356" width="9.42578125" style="45" customWidth="1"/>
    <col min="4357" max="4357" width="14.7109375" style="45" customWidth="1"/>
    <col min="4358" max="4358" width="11.5703125" style="45" customWidth="1"/>
    <col min="4359" max="4359" width="0.42578125" style="45" customWidth="1"/>
    <col min="4360" max="4360" width="10.5703125" style="45" bestFit="1" customWidth="1"/>
    <col min="4361" max="4361" width="12.28515625" style="45" customWidth="1"/>
    <col min="4362" max="4362" width="12.5703125" style="45" customWidth="1"/>
    <col min="4363" max="4363" width="10.5703125" style="45" customWidth="1"/>
    <col min="4364" max="4364" width="10.140625" style="45" customWidth="1"/>
    <col min="4365" max="4365" width="8.42578125" style="45" customWidth="1"/>
    <col min="4366" max="4366" width="18.85546875" style="45" customWidth="1"/>
    <col min="4367" max="4367" width="10.28515625" style="45" customWidth="1"/>
    <col min="4368" max="4368" width="11.42578125" style="45"/>
    <col min="4369" max="4369" width="12.140625" style="45" customWidth="1"/>
    <col min="4370" max="4370" width="10.5703125" style="45" customWidth="1"/>
    <col min="4371" max="4371" width="12.42578125" style="45" customWidth="1"/>
    <col min="4372" max="4372" width="15.140625" style="45" customWidth="1"/>
    <col min="4373" max="4373" width="13.5703125" style="45" customWidth="1"/>
    <col min="4374" max="4374" width="13.140625" style="45" customWidth="1"/>
    <col min="4375" max="4375" width="15.7109375" style="45" customWidth="1"/>
    <col min="4376" max="4376" width="37.5703125" style="45" customWidth="1"/>
    <col min="4377" max="4598" width="11.42578125" style="45"/>
    <col min="4599" max="4599" width="10.5703125" style="45" customWidth="1"/>
    <col min="4600" max="4600" width="4.85546875" style="45" customWidth="1"/>
    <col min="4601" max="4601" width="32.42578125" style="45" customWidth="1"/>
    <col min="4602" max="4602" width="9.85546875" style="45" customWidth="1"/>
    <col min="4603" max="4603" width="10.140625" style="45" customWidth="1"/>
    <col min="4604" max="4604" width="12.28515625" style="45" customWidth="1"/>
    <col min="4605" max="4605" width="15.42578125" style="45" customWidth="1"/>
    <col min="4606" max="4606" width="11.85546875" style="45" customWidth="1"/>
    <col min="4607" max="4607" width="13.28515625" style="45" customWidth="1"/>
    <col min="4608" max="4608" width="15.28515625" style="45" customWidth="1"/>
    <col min="4609" max="4609" width="11.85546875" style="45" customWidth="1"/>
    <col min="4610" max="4610" width="6.140625" style="45" customWidth="1"/>
    <col min="4611" max="4611" width="11.85546875" style="45" customWidth="1"/>
    <col min="4612" max="4612" width="9.42578125" style="45" customWidth="1"/>
    <col min="4613" max="4613" width="14.7109375" style="45" customWidth="1"/>
    <col min="4614" max="4614" width="11.5703125" style="45" customWidth="1"/>
    <col min="4615" max="4615" width="0.42578125" style="45" customWidth="1"/>
    <col min="4616" max="4616" width="10.5703125" style="45" bestFit="1" customWidth="1"/>
    <col min="4617" max="4617" width="12.28515625" style="45" customWidth="1"/>
    <col min="4618" max="4618" width="12.5703125" style="45" customWidth="1"/>
    <col min="4619" max="4619" width="10.5703125" style="45" customWidth="1"/>
    <col min="4620" max="4620" width="10.140625" style="45" customWidth="1"/>
    <col min="4621" max="4621" width="8.42578125" style="45" customWidth="1"/>
    <col min="4622" max="4622" width="18.85546875" style="45" customWidth="1"/>
    <col min="4623" max="4623" width="10.28515625" style="45" customWidth="1"/>
    <col min="4624" max="4624" width="11.42578125" style="45"/>
    <col min="4625" max="4625" width="12.140625" style="45" customWidth="1"/>
    <col min="4626" max="4626" width="10.5703125" style="45" customWidth="1"/>
    <col min="4627" max="4627" width="12.42578125" style="45" customWidth="1"/>
    <col min="4628" max="4628" width="15.140625" style="45" customWidth="1"/>
    <col min="4629" max="4629" width="13.5703125" style="45" customWidth="1"/>
    <col min="4630" max="4630" width="13.140625" style="45" customWidth="1"/>
    <col min="4631" max="4631" width="15.7109375" style="45" customWidth="1"/>
    <col min="4632" max="4632" width="37.5703125" style="45" customWidth="1"/>
    <col min="4633" max="4854" width="11.42578125" style="45"/>
    <col min="4855" max="4855" width="10.5703125" style="45" customWidth="1"/>
    <col min="4856" max="4856" width="4.85546875" style="45" customWidth="1"/>
    <col min="4857" max="4857" width="32.42578125" style="45" customWidth="1"/>
    <col min="4858" max="4858" width="9.85546875" style="45" customWidth="1"/>
    <col min="4859" max="4859" width="10.140625" style="45" customWidth="1"/>
    <col min="4860" max="4860" width="12.28515625" style="45" customWidth="1"/>
    <col min="4861" max="4861" width="15.42578125" style="45" customWidth="1"/>
    <col min="4862" max="4862" width="11.85546875" style="45" customWidth="1"/>
    <col min="4863" max="4863" width="13.28515625" style="45" customWidth="1"/>
    <col min="4864" max="4864" width="15.28515625" style="45" customWidth="1"/>
    <col min="4865" max="4865" width="11.85546875" style="45" customWidth="1"/>
    <col min="4866" max="4866" width="6.140625" style="45" customWidth="1"/>
    <col min="4867" max="4867" width="11.85546875" style="45" customWidth="1"/>
    <col min="4868" max="4868" width="9.42578125" style="45" customWidth="1"/>
    <col min="4869" max="4869" width="14.7109375" style="45" customWidth="1"/>
    <col min="4870" max="4870" width="11.5703125" style="45" customWidth="1"/>
    <col min="4871" max="4871" width="0.42578125" style="45" customWidth="1"/>
    <col min="4872" max="4872" width="10.5703125" style="45" bestFit="1" customWidth="1"/>
    <col min="4873" max="4873" width="12.28515625" style="45" customWidth="1"/>
    <col min="4874" max="4874" width="12.5703125" style="45" customWidth="1"/>
    <col min="4875" max="4875" width="10.5703125" style="45" customWidth="1"/>
    <col min="4876" max="4876" width="10.140625" style="45" customWidth="1"/>
    <col min="4877" max="4877" width="8.42578125" style="45" customWidth="1"/>
    <col min="4878" max="4878" width="18.85546875" style="45" customWidth="1"/>
    <col min="4879" max="4879" width="10.28515625" style="45" customWidth="1"/>
    <col min="4880" max="4880" width="11.42578125" style="45"/>
    <col min="4881" max="4881" width="12.140625" style="45" customWidth="1"/>
    <col min="4882" max="4882" width="10.5703125" style="45" customWidth="1"/>
    <col min="4883" max="4883" width="12.42578125" style="45" customWidth="1"/>
    <col min="4884" max="4884" width="15.140625" style="45" customWidth="1"/>
    <col min="4885" max="4885" width="13.5703125" style="45" customWidth="1"/>
    <col min="4886" max="4886" width="13.140625" style="45" customWidth="1"/>
    <col min="4887" max="4887" width="15.7109375" style="45" customWidth="1"/>
    <col min="4888" max="4888" width="37.5703125" style="45" customWidth="1"/>
    <col min="4889" max="5110" width="11.42578125" style="45"/>
    <col min="5111" max="5111" width="10.5703125" style="45" customWidth="1"/>
    <col min="5112" max="5112" width="4.85546875" style="45" customWidth="1"/>
    <col min="5113" max="5113" width="32.42578125" style="45" customWidth="1"/>
    <col min="5114" max="5114" width="9.85546875" style="45" customWidth="1"/>
    <col min="5115" max="5115" width="10.140625" style="45" customWidth="1"/>
    <col min="5116" max="5116" width="12.28515625" style="45" customWidth="1"/>
    <col min="5117" max="5117" width="15.42578125" style="45" customWidth="1"/>
    <col min="5118" max="5118" width="11.85546875" style="45" customWidth="1"/>
    <col min="5119" max="5119" width="13.28515625" style="45" customWidth="1"/>
    <col min="5120" max="5120" width="15.28515625" style="45" customWidth="1"/>
    <col min="5121" max="5121" width="11.85546875" style="45" customWidth="1"/>
    <col min="5122" max="5122" width="6.140625" style="45" customWidth="1"/>
    <col min="5123" max="5123" width="11.85546875" style="45" customWidth="1"/>
    <col min="5124" max="5124" width="9.42578125" style="45" customWidth="1"/>
    <col min="5125" max="5125" width="14.7109375" style="45" customWidth="1"/>
    <col min="5126" max="5126" width="11.5703125" style="45" customWidth="1"/>
    <col min="5127" max="5127" width="0.42578125" style="45" customWidth="1"/>
    <col min="5128" max="5128" width="10.5703125" style="45" bestFit="1" customWidth="1"/>
    <col min="5129" max="5129" width="12.28515625" style="45" customWidth="1"/>
    <col min="5130" max="5130" width="12.5703125" style="45" customWidth="1"/>
    <col min="5131" max="5131" width="10.5703125" style="45" customWidth="1"/>
    <col min="5132" max="5132" width="10.140625" style="45" customWidth="1"/>
    <col min="5133" max="5133" width="8.42578125" style="45" customWidth="1"/>
    <col min="5134" max="5134" width="18.85546875" style="45" customWidth="1"/>
    <col min="5135" max="5135" width="10.28515625" style="45" customWidth="1"/>
    <col min="5136" max="5136" width="11.42578125" style="45"/>
    <col min="5137" max="5137" width="12.140625" style="45" customWidth="1"/>
    <col min="5138" max="5138" width="10.5703125" style="45" customWidth="1"/>
    <col min="5139" max="5139" width="12.42578125" style="45" customWidth="1"/>
    <col min="5140" max="5140" width="15.140625" style="45" customWidth="1"/>
    <col min="5141" max="5141" width="13.5703125" style="45" customWidth="1"/>
    <col min="5142" max="5142" width="13.140625" style="45" customWidth="1"/>
    <col min="5143" max="5143" width="15.7109375" style="45" customWidth="1"/>
    <col min="5144" max="5144" width="37.5703125" style="45" customWidth="1"/>
    <col min="5145" max="5366" width="11.42578125" style="45"/>
    <col min="5367" max="5367" width="10.5703125" style="45" customWidth="1"/>
    <col min="5368" max="5368" width="4.85546875" style="45" customWidth="1"/>
    <col min="5369" max="5369" width="32.42578125" style="45" customWidth="1"/>
    <col min="5370" max="5370" width="9.85546875" style="45" customWidth="1"/>
    <col min="5371" max="5371" width="10.140625" style="45" customWidth="1"/>
    <col min="5372" max="5372" width="12.28515625" style="45" customWidth="1"/>
    <col min="5373" max="5373" width="15.42578125" style="45" customWidth="1"/>
    <col min="5374" max="5374" width="11.85546875" style="45" customWidth="1"/>
    <col min="5375" max="5375" width="13.28515625" style="45" customWidth="1"/>
    <col min="5376" max="5376" width="15.28515625" style="45" customWidth="1"/>
    <col min="5377" max="5377" width="11.85546875" style="45" customWidth="1"/>
    <col min="5378" max="5378" width="6.140625" style="45" customWidth="1"/>
    <col min="5379" max="5379" width="11.85546875" style="45" customWidth="1"/>
    <col min="5380" max="5380" width="9.42578125" style="45" customWidth="1"/>
    <col min="5381" max="5381" width="14.7109375" style="45" customWidth="1"/>
    <col min="5382" max="5382" width="11.5703125" style="45" customWidth="1"/>
    <col min="5383" max="5383" width="0.42578125" style="45" customWidth="1"/>
    <col min="5384" max="5384" width="10.5703125" style="45" bestFit="1" customWidth="1"/>
    <col min="5385" max="5385" width="12.28515625" style="45" customWidth="1"/>
    <col min="5386" max="5386" width="12.5703125" style="45" customWidth="1"/>
    <col min="5387" max="5387" width="10.5703125" style="45" customWidth="1"/>
    <col min="5388" max="5388" width="10.140625" style="45" customWidth="1"/>
    <col min="5389" max="5389" width="8.42578125" style="45" customWidth="1"/>
    <col min="5390" max="5390" width="18.85546875" style="45" customWidth="1"/>
    <col min="5391" max="5391" width="10.28515625" style="45" customWidth="1"/>
    <col min="5392" max="5392" width="11.42578125" style="45"/>
    <col min="5393" max="5393" width="12.140625" style="45" customWidth="1"/>
    <col min="5394" max="5394" width="10.5703125" style="45" customWidth="1"/>
    <col min="5395" max="5395" width="12.42578125" style="45" customWidth="1"/>
    <col min="5396" max="5396" width="15.140625" style="45" customWidth="1"/>
    <col min="5397" max="5397" width="13.5703125" style="45" customWidth="1"/>
    <col min="5398" max="5398" width="13.140625" style="45" customWidth="1"/>
    <col min="5399" max="5399" width="15.7109375" style="45" customWidth="1"/>
    <col min="5400" max="5400" width="37.5703125" style="45" customWidth="1"/>
    <col min="5401" max="5622" width="11.42578125" style="45"/>
    <col min="5623" max="5623" width="10.5703125" style="45" customWidth="1"/>
    <col min="5624" max="5624" width="4.85546875" style="45" customWidth="1"/>
    <col min="5625" max="5625" width="32.42578125" style="45" customWidth="1"/>
    <col min="5626" max="5626" width="9.85546875" style="45" customWidth="1"/>
    <col min="5627" max="5627" width="10.140625" style="45" customWidth="1"/>
    <col min="5628" max="5628" width="12.28515625" style="45" customWidth="1"/>
    <col min="5629" max="5629" width="15.42578125" style="45" customWidth="1"/>
    <col min="5630" max="5630" width="11.85546875" style="45" customWidth="1"/>
    <col min="5631" max="5631" width="13.28515625" style="45" customWidth="1"/>
    <col min="5632" max="5632" width="15.28515625" style="45" customWidth="1"/>
    <col min="5633" max="5633" width="11.85546875" style="45" customWidth="1"/>
    <col min="5634" max="5634" width="6.140625" style="45" customWidth="1"/>
    <col min="5635" max="5635" width="11.85546875" style="45" customWidth="1"/>
    <col min="5636" max="5636" width="9.42578125" style="45" customWidth="1"/>
    <col min="5637" max="5637" width="14.7109375" style="45" customWidth="1"/>
    <col min="5638" max="5638" width="11.5703125" style="45" customWidth="1"/>
    <col min="5639" max="5639" width="0.42578125" style="45" customWidth="1"/>
    <col min="5640" max="5640" width="10.5703125" style="45" bestFit="1" customWidth="1"/>
    <col min="5641" max="5641" width="12.28515625" style="45" customWidth="1"/>
    <col min="5642" max="5642" width="12.5703125" style="45" customWidth="1"/>
    <col min="5643" max="5643" width="10.5703125" style="45" customWidth="1"/>
    <col min="5644" max="5644" width="10.140625" style="45" customWidth="1"/>
    <col min="5645" max="5645" width="8.42578125" style="45" customWidth="1"/>
    <col min="5646" max="5646" width="18.85546875" style="45" customWidth="1"/>
    <col min="5647" max="5647" width="10.28515625" style="45" customWidth="1"/>
    <col min="5648" max="5648" width="11.42578125" style="45"/>
    <col min="5649" max="5649" width="12.140625" style="45" customWidth="1"/>
    <col min="5650" max="5650" width="10.5703125" style="45" customWidth="1"/>
    <col min="5651" max="5651" width="12.42578125" style="45" customWidth="1"/>
    <col min="5652" max="5652" width="15.140625" style="45" customWidth="1"/>
    <col min="5653" max="5653" width="13.5703125" style="45" customWidth="1"/>
    <col min="5654" max="5654" width="13.140625" style="45" customWidth="1"/>
    <col min="5655" max="5655" width="15.7109375" style="45" customWidth="1"/>
    <col min="5656" max="5656" width="37.5703125" style="45" customWidth="1"/>
    <col min="5657" max="5878" width="11.42578125" style="45"/>
    <col min="5879" max="5879" width="10.5703125" style="45" customWidth="1"/>
    <col min="5880" max="5880" width="4.85546875" style="45" customWidth="1"/>
    <col min="5881" max="5881" width="32.42578125" style="45" customWidth="1"/>
    <col min="5882" max="5882" width="9.85546875" style="45" customWidth="1"/>
    <col min="5883" max="5883" width="10.140625" style="45" customWidth="1"/>
    <col min="5884" max="5884" width="12.28515625" style="45" customWidth="1"/>
    <col min="5885" max="5885" width="15.42578125" style="45" customWidth="1"/>
    <col min="5886" max="5886" width="11.85546875" style="45" customWidth="1"/>
    <col min="5887" max="5887" width="13.28515625" style="45" customWidth="1"/>
    <col min="5888" max="5888" width="15.28515625" style="45" customWidth="1"/>
    <col min="5889" max="5889" width="11.85546875" style="45" customWidth="1"/>
    <col min="5890" max="5890" width="6.140625" style="45" customWidth="1"/>
    <col min="5891" max="5891" width="11.85546875" style="45" customWidth="1"/>
    <col min="5892" max="5892" width="9.42578125" style="45" customWidth="1"/>
    <col min="5893" max="5893" width="14.7109375" style="45" customWidth="1"/>
    <col min="5894" max="5894" width="11.5703125" style="45" customWidth="1"/>
    <col min="5895" max="5895" width="0.42578125" style="45" customWidth="1"/>
    <col min="5896" max="5896" width="10.5703125" style="45" bestFit="1" customWidth="1"/>
    <col min="5897" max="5897" width="12.28515625" style="45" customWidth="1"/>
    <col min="5898" max="5898" width="12.5703125" style="45" customWidth="1"/>
    <col min="5899" max="5899" width="10.5703125" style="45" customWidth="1"/>
    <col min="5900" max="5900" width="10.140625" style="45" customWidth="1"/>
    <col min="5901" max="5901" width="8.42578125" style="45" customWidth="1"/>
    <col min="5902" max="5902" width="18.85546875" style="45" customWidth="1"/>
    <col min="5903" max="5903" width="10.28515625" style="45" customWidth="1"/>
    <col min="5904" max="5904" width="11.42578125" style="45"/>
    <col min="5905" max="5905" width="12.140625" style="45" customWidth="1"/>
    <col min="5906" max="5906" width="10.5703125" style="45" customWidth="1"/>
    <col min="5907" max="5907" width="12.42578125" style="45" customWidth="1"/>
    <col min="5908" max="5908" width="15.140625" style="45" customWidth="1"/>
    <col min="5909" max="5909" width="13.5703125" style="45" customWidth="1"/>
    <col min="5910" max="5910" width="13.140625" style="45" customWidth="1"/>
    <col min="5911" max="5911" width="15.7109375" style="45" customWidth="1"/>
    <col min="5912" max="5912" width="37.5703125" style="45" customWidth="1"/>
    <col min="5913" max="6134" width="11.42578125" style="45"/>
    <col min="6135" max="6135" width="10.5703125" style="45" customWidth="1"/>
    <col min="6136" max="6136" width="4.85546875" style="45" customWidth="1"/>
    <col min="6137" max="6137" width="32.42578125" style="45" customWidth="1"/>
    <col min="6138" max="6138" width="9.85546875" style="45" customWidth="1"/>
    <col min="6139" max="6139" width="10.140625" style="45" customWidth="1"/>
    <col min="6140" max="6140" width="12.28515625" style="45" customWidth="1"/>
    <col min="6141" max="6141" width="15.42578125" style="45" customWidth="1"/>
    <col min="6142" max="6142" width="11.85546875" style="45" customWidth="1"/>
    <col min="6143" max="6143" width="13.28515625" style="45" customWidth="1"/>
    <col min="6144" max="6144" width="15.28515625" style="45" customWidth="1"/>
    <col min="6145" max="6145" width="11.85546875" style="45" customWidth="1"/>
    <col min="6146" max="6146" width="6.140625" style="45" customWidth="1"/>
    <col min="6147" max="6147" width="11.85546875" style="45" customWidth="1"/>
    <col min="6148" max="6148" width="9.42578125" style="45" customWidth="1"/>
    <col min="6149" max="6149" width="14.7109375" style="45" customWidth="1"/>
    <col min="6150" max="6150" width="11.5703125" style="45" customWidth="1"/>
    <col min="6151" max="6151" width="0.42578125" style="45" customWidth="1"/>
    <col min="6152" max="6152" width="10.5703125" style="45" bestFit="1" customWidth="1"/>
    <col min="6153" max="6153" width="12.28515625" style="45" customWidth="1"/>
    <col min="6154" max="6154" width="12.5703125" style="45" customWidth="1"/>
    <col min="6155" max="6155" width="10.5703125" style="45" customWidth="1"/>
    <col min="6156" max="6156" width="10.140625" style="45" customWidth="1"/>
    <col min="6157" max="6157" width="8.42578125" style="45" customWidth="1"/>
    <col min="6158" max="6158" width="18.85546875" style="45" customWidth="1"/>
    <col min="6159" max="6159" width="10.28515625" style="45" customWidth="1"/>
    <col min="6160" max="6160" width="11.42578125" style="45"/>
    <col min="6161" max="6161" width="12.140625" style="45" customWidth="1"/>
    <col min="6162" max="6162" width="10.5703125" style="45" customWidth="1"/>
    <col min="6163" max="6163" width="12.42578125" style="45" customWidth="1"/>
    <col min="6164" max="6164" width="15.140625" style="45" customWidth="1"/>
    <col min="6165" max="6165" width="13.5703125" style="45" customWidth="1"/>
    <col min="6166" max="6166" width="13.140625" style="45" customWidth="1"/>
    <col min="6167" max="6167" width="15.7109375" style="45" customWidth="1"/>
    <col min="6168" max="6168" width="37.5703125" style="45" customWidth="1"/>
    <col min="6169" max="6390" width="11.42578125" style="45"/>
    <col min="6391" max="6391" width="10.5703125" style="45" customWidth="1"/>
    <col min="6392" max="6392" width="4.85546875" style="45" customWidth="1"/>
    <col min="6393" max="6393" width="32.42578125" style="45" customWidth="1"/>
    <col min="6394" max="6394" width="9.85546875" style="45" customWidth="1"/>
    <col min="6395" max="6395" width="10.140625" style="45" customWidth="1"/>
    <col min="6396" max="6396" width="12.28515625" style="45" customWidth="1"/>
    <col min="6397" max="6397" width="15.42578125" style="45" customWidth="1"/>
    <col min="6398" max="6398" width="11.85546875" style="45" customWidth="1"/>
    <col min="6399" max="6399" width="13.28515625" style="45" customWidth="1"/>
    <col min="6400" max="6400" width="15.28515625" style="45" customWidth="1"/>
    <col min="6401" max="6401" width="11.85546875" style="45" customWidth="1"/>
    <col min="6402" max="6402" width="6.140625" style="45" customWidth="1"/>
    <col min="6403" max="6403" width="11.85546875" style="45" customWidth="1"/>
    <col min="6404" max="6404" width="9.42578125" style="45" customWidth="1"/>
    <col min="6405" max="6405" width="14.7109375" style="45" customWidth="1"/>
    <col min="6406" max="6406" width="11.5703125" style="45" customWidth="1"/>
    <col min="6407" max="6407" width="0.42578125" style="45" customWidth="1"/>
    <col min="6408" max="6408" width="10.5703125" style="45" bestFit="1" customWidth="1"/>
    <col min="6409" max="6409" width="12.28515625" style="45" customWidth="1"/>
    <col min="6410" max="6410" width="12.5703125" style="45" customWidth="1"/>
    <col min="6411" max="6411" width="10.5703125" style="45" customWidth="1"/>
    <col min="6412" max="6412" width="10.140625" style="45" customWidth="1"/>
    <col min="6413" max="6413" width="8.42578125" style="45" customWidth="1"/>
    <col min="6414" max="6414" width="18.85546875" style="45" customWidth="1"/>
    <col min="6415" max="6415" width="10.28515625" style="45" customWidth="1"/>
    <col min="6416" max="6416" width="11.42578125" style="45"/>
    <col min="6417" max="6417" width="12.140625" style="45" customWidth="1"/>
    <col min="6418" max="6418" width="10.5703125" style="45" customWidth="1"/>
    <col min="6419" max="6419" width="12.42578125" style="45" customWidth="1"/>
    <col min="6420" max="6420" width="15.140625" style="45" customWidth="1"/>
    <col min="6421" max="6421" width="13.5703125" style="45" customWidth="1"/>
    <col min="6422" max="6422" width="13.140625" style="45" customWidth="1"/>
    <col min="6423" max="6423" width="15.7109375" style="45" customWidth="1"/>
    <col min="6424" max="6424" width="37.5703125" style="45" customWidth="1"/>
    <col min="6425" max="6646" width="11.42578125" style="45"/>
    <col min="6647" max="6647" width="10.5703125" style="45" customWidth="1"/>
    <col min="6648" max="6648" width="4.85546875" style="45" customWidth="1"/>
    <col min="6649" max="6649" width="32.42578125" style="45" customWidth="1"/>
    <col min="6650" max="6650" width="9.85546875" style="45" customWidth="1"/>
    <col min="6651" max="6651" width="10.140625" style="45" customWidth="1"/>
    <col min="6652" max="6652" width="12.28515625" style="45" customWidth="1"/>
    <col min="6653" max="6653" width="15.42578125" style="45" customWidth="1"/>
    <col min="6654" max="6654" width="11.85546875" style="45" customWidth="1"/>
    <col min="6655" max="6655" width="13.28515625" style="45" customWidth="1"/>
    <col min="6656" max="6656" width="15.28515625" style="45" customWidth="1"/>
    <col min="6657" max="6657" width="11.85546875" style="45" customWidth="1"/>
    <col min="6658" max="6658" width="6.140625" style="45" customWidth="1"/>
    <col min="6659" max="6659" width="11.85546875" style="45" customWidth="1"/>
    <col min="6660" max="6660" width="9.42578125" style="45" customWidth="1"/>
    <col min="6661" max="6661" width="14.7109375" style="45" customWidth="1"/>
    <col min="6662" max="6662" width="11.5703125" style="45" customWidth="1"/>
    <col min="6663" max="6663" width="0.42578125" style="45" customWidth="1"/>
    <col min="6664" max="6664" width="10.5703125" style="45" bestFit="1" customWidth="1"/>
    <col min="6665" max="6665" width="12.28515625" style="45" customWidth="1"/>
    <col min="6666" max="6666" width="12.5703125" style="45" customWidth="1"/>
    <col min="6667" max="6667" width="10.5703125" style="45" customWidth="1"/>
    <col min="6668" max="6668" width="10.140625" style="45" customWidth="1"/>
    <col min="6669" max="6669" width="8.42578125" style="45" customWidth="1"/>
    <col min="6670" max="6670" width="18.85546875" style="45" customWidth="1"/>
    <col min="6671" max="6671" width="10.28515625" style="45" customWidth="1"/>
    <col min="6672" max="6672" width="11.42578125" style="45"/>
    <col min="6673" max="6673" width="12.140625" style="45" customWidth="1"/>
    <col min="6674" max="6674" width="10.5703125" style="45" customWidth="1"/>
    <col min="6675" max="6675" width="12.42578125" style="45" customWidth="1"/>
    <col min="6676" max="6676" width="15.140625" style="45" customWidth="1"/>
    <col min="6677" max="6677" width="13.5703125" style="45" customWidth="1"/>
    <col min="6678" max="6678" width="13.140625" style="45" customWidth="1"/>
    <col min="6679" max="6679" width="15.7109375" style="45" customWidth="1"/>
    <col min="6680" max="6680" width="37.5703125" style="45" customWidth="1"/>
    <col min="6681" max="6902" width="11.42578125" style="45"/>
    <col min="6903" max="6903" width="10.5703125" style="45" customWidth="1"/>
    <col min="6904" max="6904" width="4.85546875" style="45" customWidth="1"/>
    <col min="6905" max="6905" width="32.42578125" style="45" customWidth="1"/>
    <col min="6906" max="6906" width="9.85546875" style="45" customWidth="1"/>
    <col min="6907" max="6907" width="10.140625" style="45" customWidth="1"/>
    <col min="6908" max="6908" width="12.28515625" style="45" customWidth="1"/>
    <col min="6909" max="6909" width="15.42578125" style="45" customWidth="1"/>
    <col min="6910" max="6910" width="11.85546875" style="45" customWidth="1"/>
    <col min="6911" max="6911" width="13.28515625" style="45" customWidth="1"/>
    <col min="6912" max="6912" width="15.28515625" style="45" customWidth="1"/>
    <col min="6913" max="6913" width="11.85546875" style="45" customWidth="1"/>
    <col min="6914" max="6914" width="6.140625" style="45" customWidth="1"/>
    <col min="6915" max="6915" width="11.85546875" style="45" customWidth="1"/>
    <col min="6916" max="6916" width="9.42578125" style="45" customWidth="1"/>
    <col min="6917" max="6917" width="14.7109375" style="45" customWidth="1"/>
    <col min="6918" max="6918" width="11.5703125" style="45" customWidth="1"/>
    <col min="6919" max="6919" width="0.42578125" style="45" customWidth="1"/>
    <col min="6920" max="6920" width="10.5703125" style="45" bestFit="1" customWidth="1"/>
    <col min="6921" max="6921" width="12.28515625" style="45" customWidth="1"/>
    <col min="6922" max="6922" width="12.5703125" style="45" customWidth="1"/>
    <col min="6923" max="6923" width="10.5703125" style="45" customWidth="1"/>
    <col min="6924" max="6924" width="10.140625" style="45" customWidth="1"/>
    <col min="6925" max="6925" width="8.42578125" style="45" customWidth="1"/>
    <col min="6926" max="6926" width="18.85546875" style="45" customWidth="1"/>
    <col min="6927" max="6927" width="10.28515625" style="45" customWidth="1"/>
    <col min="6928" max="6928" width="11.42578125" style="45"/>
    <col min="6929" max="6929" width="12.140625" style="45" customWidth="1"/>
    <col min="6930" max="6930" width="10.5703125" style="45" customWidth="1"/>
    <col min="6931" max="6931" width="12.42578125" style="45" customWidth="1"/>
    <col min="6932" max="6932" width="15.140625" style="45" customWidth="1"/>
    <col min="6933" max="6933" width="13.5703125" style="45" customWidth="1"/>
    <col min="6934" max="6934" width="13.140625" style="45" customWidth="1"/>
    <col min="6935" max="6935" width="15.7109375" style="45" customWidth="1"/>
    <col min="6936" max="6936" width="37.5703125" style="45" customWidth="1"/>
    <col min="6937" max="7158" width="11.42578125" style="45"/>
    <col min="7159" max="7159" width="10.5703125" style="45" customWidth="1"/>
    <col min="7160" max="7160" width="4.85546875" style="45" customWidth="1"/>
    <col min="7161" max="7161" width="32.42578125" style="45" customWidth="1"/>
    <col min="7162" max="7162" width="9.85546875" style="45" customWidth="1"/>
    <col min="7163" max="7163" width="10.140625" style="45" customWidth="1"/>
    <col min="7164" max="7164" width="12.28515625" style="45" customWidth="1"/>
    <col min="7165" max="7165" width="15.42578125" style="45" customWidth="1"/>
    <col min="7166" max="7166" width="11.85546875" style="45" customWidth="1"/>
    <col min="7167" max="7167" width="13.28515625" style="45" customWidth="1"/>
    <col min="7168" max="7168" width="15.28515625" style="45" customWidth="1"/>
    <col min="7169" max="7169" width="11.85546875" style="45" customWidth="1"/>
    <col min="7170" max="7170" width="6.140625" style="45" customWidth="1"/>
    <col min="7171" max="7171" width="11.85546875" style="45" customWidth="1"/>
    <col min="7172" max="7172" width="9.42578125" style="45" customWidth="1"/>
    <col min="7173" max="7173" width="14.7109375" style="45" customWidth="1"/>
    <col min="7174" max="7174" width="11.5703125" style="45" customWidth="1"/>
    <col min="7175" max="7175" width="0.42578125" style="45" customWidth="1"/>
    <col min="7176" max="7176" width="10.5703125" style="45" bestFit="1" customWidth="1"/>
    <col min="7177" max="7177" width="12.28515625" style="45" customWidth="1"/>
    <col min="7178" max="7178" width="12.5703125" style="45" customWidth="1"/>
    <col min="7179" max="7179" width="10.5703125" style="45" customWidth="1"/>
    <col min="7180" max="7180" width="10.140625" style="45" customWidth="1"/>
    <col min="7181" max="7181" width="8.42578125" style="45" customWidth="1"/>
    <col min="7182" max="7182" width="18.85546875" style="45" customWidth="1"/>
    <col min="7183" max="7183" width="10.28515625" style="45" customWidth="1"/>
    <col min="7184" max="7184" width="11.42578125" style="45"/>
    <col min="7185" max="7185" width="12.140625" style="45" customWidth="1"/>
    <col min="7186" max="7186" width="10.5703125" style="45" customWidth="1"/>
    <col min="7187" max="7187" width="12.42578125" style="45" customWidth="1"/>
    <col min="7188" max="7188" width="15.140625" style="45" customWidth="1"/>
    <col min="7189" max="7189" width="13.5703125" style="45" customWidth="1"/>
    <col min="7190" max="7190" width="13.140625" style="45" customWidth="1"/>
    <col min="7191" max="7191" width="15.7109375" style="45" customWidth="1"/>
    <col min="7192" max="7192" width="37.5703125" style="45" customWidth="1"/>
    <col min="7193" max="7414" width="11.42578125" style="45"/>
    <col min="7415" max="7415" width="10.5703125" style="45" customWidth="1"/>
    <col min="7416" max="7416" width="4.85546875" style="45" customWidth="1"/>
    <col min="7417" max="7417" width="32.42578125" style="45" customWidth="1"/>
    <col min="7418" max="7418" width="9.85546875" style="45" customWidth="1"/>
    <col min="7419" max="7419" width="10.140625" style="45" customWidth="1"/>
    <col min="7420" max="7420" width="12.28515625" style="45" customWidth="1"/>
    <col min="7421" max="7421" width="15.42578125" style="45" customWidth="1"/>
    <col min="7422" max="7422" width="11.85546875" style="45" customWidth="1"/>
    <col min="7423" max="7423" width="13.28515625" style="45" customWidth="1"/>
    <col min="7424" max="7424" width="15.28515625" style="45" customWidth="1"/>
    <col min="7425" max="7425" width="11.85546875" style="45" customWidth="1"/>
    <col min="7426" max="7426" width="6.140625" style="45" customWidth="1"/>
    <col min="7427" max="7427" width="11.85546875" style="45" customWidth="1"/>
    <col min="7428" max="7428" width="9.42578125" style="45" customWidth="1"/>
    <col min="7429" max="7429" width="14.7109375" style="45" customWidth="1"/>
    <col min="7430" max="7430" width="11.5703125" style="45" customWidth="1"/>
    <col min="7431" max="7431" width="0.42578125" style="45" customWidth="1"/>
    <col min="7432" max="7432" width="10.5703125" style="45" bestFit="1" customWidth="1"/>
    <col min="7433" max="7433" width="12.28515625" style="45" customWidth="1"/>
    <col min="7434" max="7434" width="12.5703125" style="45" customWidth="1"/>
    <col min="7435" max="7435" width="10.5703125" style="45" customWidth="1"/>
    <col min="7436" max="7436" width="10.140625" style="45" customWidth="1"/>
    <col min="7437" max="7437" width="8.42578125" style="45" customWidth="1"/>
    <col min="7438" max="7438" width="18.85546875" style="45" customWidth="1"/>
    <col min="7439" max="7439" width="10.28515625" style="45" customWidth="1"/>
    <col min="7440" max="7440" width="11.42578125" style="45"/>
    <col min="7441" max="7441" width="12.140625" style="45" customWidth="1"/>
    <col min="7442" max="7442" width="10.5703125" style="45" customWidth="1"/>
    <col min="7443" max="7443" width="12.42578125" style="45" customWidth="1"/>
    <col min="7444" max="7444" width="15.140625" style="45" customWidth="1"/>
    <col min="7445" max="7445" width="13.5703125" style="45" customWidth="1"/>
    <col min="7446" max="7446" width="13.140625" style="45" customWidth="1"/>
    <col min="7447" max="7447" width="15.7109375" style="45" customWidth="1"/>
    <col min="7448" max="7448" width="37.5703125" style="45" customWidth="1"/>
    <col min="7449" max="7670" width="11.42578125" style="45"/>
    <col min="7671" max="7671" width="10.5703125" style="45" customWidth="1"/>
    <col min="7672" max="7672" width="4.85546875" style="45" customWidth="1"/>
    <col min="7673" max="7673" width="32.42578125" style="45" customWidth="1"/>
    <col min="7674" max="7674" width="9.85546875" style="45" customWidth="1"/>
    <col min="7675" max="7675" width="10.140625" style="45" customWidth="1"/>
    <col min="7676" max="7676" width="12.28515625" style="45" customWidth="1"/>
    <col min="7677" max="7677" width="15.42578125" style="45" customWidth="1"/>
    <col min="7678" max="7678" width="11.85546875" style="45" customWidth="1"/>
    <col min="7679" max="7679" width="13.28515625" style="45" customWidth="1"/>
    <col min="7680" max="7680" width="15.28515625" style="45" customWidth="1"/>
    <col min="7681" max="7681" width="11.85546875" style="45" customWidth="1"/>
    <col min="7682" max="7682" width="6.140625" style="45" customWidth="1"/>
    <col min="7683" max="7683" width="11.85546875" style="45" customWidth="1"/>
    <col min="7684" max="7684" width="9.42578125" style="45" customWidth="1"/>
    <col min="7685" max="7685" width="14.7109375" style="45" customWidth="1"/>
    <col min="7686" max="7686" width="11.5703125" style="45" customWidth="1"/>
    <col min="7687" max="7687" width="0.42578125" style="45" customWidth="1"/>
    <col min="7688" max="7688" width="10.5703125" style="45" bestFit="1" customWidth="1"/>
    <col min="7689" max="7689" width="12.28515625" style="45" customWidth="1"/>
    <col min="7690" max="7690" width="12.5703125" style="45" customWidth="1"/>
    <col min="7691" max="7691" width="10.5703125" style="45" customWidth="1"/>
    <col min="7692" max="7692" width="10.140625" style="45" customWidth="1"/>
    <col min="7693" max="7693" width="8.42578125" style="45" customWidth="1"/>
    <col min="7694" max="7694" width="18.85546875" style="45" customWidth="1"/>
    <col min="7695" max="7695" width="10.28515625" style="45" customWidth="1"/>
    <col min="7696" max="7696" width="11.42578125" style="45"/>
    <col min="7697" max="7697" width="12.140625" style="45" customWidth="1"/>
    <col min="7698" max="7698" width="10.5703125" style="45" customWidth="1"/>
    <col min="7699" max="7699" width="12.42578125" style="45" customWidth="1"/>
    <col min="7700" max="7700" width="15.140625" style="45" customWidth="1"/>
    <col min="7701" max="7701" width="13.5703125" style="45" customWidth="1"/>
    <col min="7702" max="7702" width="13.140625" style="45" customWidth="1"/>
    <col min="7703" max="7703" width="15.7109375" style="45" customWidth="1"/>
    <col min="7704" max="7704" width="37.5703125" style="45" customWidth="1"/>
    <col min="7705" max="7926" width="11.42578125" style="45"/>
    <col min="7927" max="7927" width="10.5703125" style="45" customWidth="1"/>
    <col min="7928" max="7928" width="4.85546875" style="45" customWidth="1"/>
    <col min="7929" max="7929" width="32.42578125" style="45" customWidth="1"/>
    <col min="7930" max="7930" width="9.85546875" style="45" customWidth="1"/>
    <col min="7931" max="7931" width="10.140625" style="45" customWidth="1"/>
    <col min="7932" max="7932" width="12.28515625" style="45" customWidth="1"/>
    <col min="7933" max="7933" width="15.42578125" style="45" customWidth="1"/>
    <col min="7934" max="7934" width="11.85546875" style="45" customWidth="1"/>
    <col min="7935" max="7935" width="13.28515625" style="45" customWidth="1"/>
    <col min="7936" max="7936" width="15.28515625" style="45" customWidth="1"/>
    <col min="7937" max="7937" width="11.85546875" style="45" customWidth="1"/>
    <col min="7938" max="7938" width="6.140625" style="45" customWidth="1"/>
    <col min="7939" max="7939" width="11.85546875" style="45" customWidth="1"/>
    <col min="7940" max="7940" width="9.42578125" style="45" customWidth="1"/>
    <col min="7941" max="7941" width="14.7109375" style="45" customWidth="1"/>
    <col min="7942" max="7942" width="11.5703125" style="45" customWidth="1"/>
    <col min="7943" max="7943" width="0.42578125" style="45" customWidth="1"/>
    <col min="7944" max="7944" width="10.5703125" style="45" bestFit="1" customWidth="1"/>
    <col min="7945" max="7945" width="12.28515625" style="45" customWidth="1"/>
    <col min="7946" max="7946" width="12.5703125" style="45" customWidth="1"/>
    <col min="7947" max="7947" width="10.5703125" style="45" customWidth="1"/>
    <col min="7948" max="7948" width="10.140625" style="45" customWidth="1"/>
    <col min="7949" max="7949" width="8.42578125" style="45" customWidth="1"/>
    <col min="7950" max="7950" width="18.85546875" style="45" customWidth="1"/>
    <col min="7951" max="7951" width="10.28515625" style="45" customWidth="1"/>
    <col min="7952" max="7952" width="11.42578125" style="45"/>
    <col min="7953" max="7953" width="12.140625" style="45" customWidth="1"/>
    <col min="7954" max="7954" width="10.5703125" style="45" customWidth="1"/>
    <col min="7955" max="7955" width="12.42578125" style="45" customWidth="1"/>
    <col min="7956" max="7956" width="15.140625" style="45" customWidth="1"/>
    <col min="7957" max="7957" width="13.5703125" style="45" customWidth="1"/>
    <col min="7958" max="7958" width="13.140625" style="45" customWidth="1"/>
    <col min="7959" max="7959" width="15.7109375" style="45" customWidth="1"/>
    <col min="7960" max="7960" width="37.5703125" style="45" customWidth="1"/>
    <col min="7961" max="8182" width="11.42578125" style="45"/>
    <col min="8183" max="8183" width="10.5703125" style="45" customWidth="1"/>
    <col min="8184" max="8184" width="4.85546875" style="45" customWidth="1"/>
    <col min="8185" max="8185" width="32.42578125" style="45" customWidth="1"/>
    <col min="8186" max="8186" width="9.85546875" style="45" customWidth="1"/>
    <col min="8187" max="8187" width="10.140625" style="45" customWidth="1"/>
    <col min="8188" max="8188" width="12.28515625" style="45" customWidth="1"/>
    <col min="8189" max="8189" width="15.42578125" style="45" customWidth="1"/>
    <col min="8190" max="8190" width="11.85546875" style="45" customWidth="1"/>
    <col min="8191" max="8191" width="13.28515625" style="45" customWidth="1"/>
    <col min="8192" max="8192" width="15.28515625" style="45" customWidth="1"/>
    <col min="8193" max="8193" width="11.85546875" style="45" customWidth="1"/>
    <col min="8194" max="8194" width="6.140625" style="45" customWidth="1"/>
    <col min="8195" max="8195" width="11.85546875" style="45" customWidth="1"/>
    <col min="8196" max="8196" width="9.42578125" style="45" customWidth="1"/>
    <col min="8197" max="8197" width="14.7109375" style="45" customWidth="1"/>
    <col min="8198" max="8198" width="11.5703125" style="45" customWidth="1"/>
    <col min="8199" max="8199" width="0.42578125" style="45" customWidth="1"/>
    <col min="8200" max="8200" width="10.5703125" style="45" bestFit="1" customWidth="1"/>
    <col min="8201" max="8201" width="12.28515625" style="45" customWidth="1"/>
    <col min="8202" max="8202" width="12.5703125" style="45" customWidth="1"/>
    <col min="8203" max="8203" width="10.5703125" style="45" customWidth="1"/>
    <col min="8204" max="8204" width="10.140625" style="45" customWidth="1"/>
    <col min="8205" max="8205" width="8.42578125" style="45" customWidth="1"/>
    <col min="8206" max="8206" width="18.85546875" style="45" customWidth="1"/>
    <col min="8207" max="8207" width="10.28515625" style="45" customWidth="1"/>
    <col min="8208" max="8208" width="11.42578125" style="45"/>
    <col min="8209" max="8209" width="12.140625" style="45" customWidth="1"/>
    <col min="8210" max="8210" width="10.5703125" style="45" customWidth="1"/>
    <col min="8211" max="8211" width="12.42578125" style="45" customWidth="1"/>
    <col min="8212" max="8212" width="15.140625" style="45" customWidth="1"/>
    <col min="8213" max="8213" width="13.5703125" style="45" customWidth="1"/>
    <col min="8214" max="8214" width="13.140625" style="45" customWidth="1"/>
    <col min="8215" max="8215" width="15.7109375" style="45" customWidth="1"/>
    <col min="8216" max="8216" width="37.5703125" style="45" customWidth="1"/>
    <col min="8217" max="8438" width="11.42578125" style="45"/>
    <col min="8439" max="8439" width="10.5703125" style="45" customWidth="1"/>
    <col min="8440" max="8440" width="4.85546875" style="45" customWidth="1"/>
    <col min="8441" max="8441" width="32.42578125" style="45" customWidth="1"/>
    <col min="8442" max="8442" width="9.85546875" style="45" customWidth="1"/>
    <col min="8443" max="8443" width="10.140625" style="45" customWidth="1"/>
    <col min="8444" max="8444" width="12.28515625" style="45" customWidth="1"/>
    <col min="8445" max="8445" width="15.42578125" style="45" customWidth="1"/>
    <col min="8446" max="8446" width="11.85546875" style="45" customWidth="1"/>
    <col min="8447" max="8447" width="13.28515625" style="45" customWidth="1"/>
    <col min="8448" max="8448" width="15.28515625" style="45" customWidth="1"/>
    <col min="8449" max="8449" width="11.85546875" style="45" customWidth="1"/>
    <col min="8450" max="8450" width="6.140625" style="45" customWidth="1"/>
    <col min="8451" max="8451" width="11.85546875" style="45" customWidth="1"/>
    <col min="8452" max="8452" width="9.42578125" style="45" customWidth="1"/>
    <col min="8453" max="8453" width="14.7109375" style="45" customWidth="1"/>
    <col min="8454" max="8454" width="11.5703125" style="45" customWidth="1"/>
    <col min="8455" max="8455" width="0.42578125" style="45" customWidth="1"/>
    <col min="8456" max="8456" width="10.5703125" style="45" bestFit="1" customWidth="1"/>
    <col min="8457" max="8457" width="12.28515625" style="45" customWidth="1"/>
    <col min="8458" max="8458" width="12.5703125" style="45" customWidth="1"/>
    <col min="8459" max="8459" width="10.5703125" style="45" customWidth="1"/>
    <col min="8460" max="8460" width="10.140625" style="45" customWidth="1"/>
    <col min="8461" max="8461" width="8.42578125" style="45" customWidth="1"/>
    <col min="8462" max="8462" width="18.85546875" style="45" customWidth="1"/>
    <col min="8463" max="8463" width="10.28515625" style="45" customWidth="1"/>
    <col min="8464" max="8464" width="11.42578125" style="45"/>
    <col min="8465" max="8465" width="12.140625" style="45" customWidth="1"/>
    <col min="8466" max="8466" width="10.5703125" style="45" customWidth="1"/>
    <col min="8467" max="8467" width="12.42578125" style="45" customWidth="1"/>
    <col min="8468" max="8468" width="15.140625" style="45" customWidth="1"/>
    <col min="8469" max="8469" width="13.5703125" style="45" customWidth="1"/>
    <col min="8470" max="8470" width="13.140625" style="45" customWidth="1"/>
    <col min="8471" max="8471" width="15.7109375" style="45" customWidth="1"/>
    <col min="8472" max="8472" width="37.5703125" style="45" customWidth="1"/>
    <col min="8473" max="8694" width="11.42578125" style="45"/>
    <col min="8695" max="8695" width="10.5703125" style="45" customWidth="1"/>
    <col min="8696" max="8696" width="4.85546875" style="45" customWidth="1"/>
    <col min="8697" max="8697" width="32.42578125" style="45" customWidth="1"/>
    <col min="8698" max="8698" width="9.85546875" style="45" customWidth="1"/>
    <col min="8699" max="8699" width="10.140625" style="45" customWidth="1"/>
    <col min="8700" max="8700" width="12.28515625" style="45" customWidth="1"/>
    <col min="8701" max="8701" width="15.42578125" style="45" customWidth="1"/>
    <col min="8702" max="8702" width="11.85546875" style="45" customWidth="1"/>
    <col min="8703" max="8703" width="13.28515625" style="45" customWidth="1"/>
    <col min="8704" max="8704" width="15.28515625" style="45" customWidth="1"/>
    <col min="8705" max="8705" width="11.85546875" style="45" customWidth="1"/>
    <col min="8706" max="8706" width="6.140625" style="45" customWidth="1"/>
    <col min="8707" max="8707" width="11.85546875" style="45" customWidth="1"/>
    <col min="8708" max="8708" width="9.42578125" style="45" customWidth="1"/>
    <col min="8709" max="8709" width="14.7109375" style="45" customWidth="1"/>
    <col min="8710" max="8710" width="11.5703125" style="45" customWidth="1"/>
    <col min="8711" max="8711" width="0.42578125" style="45" customWidth="1"/>
    <col min="8712" max="8712" width="10.5703125" style="45" bestFit="1" customWidth="1"/>
    <col min="8713" max="8713" width="12.28515625" style="45" customWidth="1"/>
    <col min="8714" max="8714" width="12.5703125" style="45" customWidth="1"/>
    <col min="8715" max="8715" width="10.5703125" style="45" customWidth="1"/>
    <col min="8716" max="8716" width="10.140625" style="45" customWidth="1"/>
    <col min="8717" max="8717" width="8.42578125" style="45" customWidth="1"/>
    <col min="8718" max="8718" width="18.85546875" style="45" customWidth="1"/>
    <col min="8719" max="8719" width="10.28515625" style="45" customWidth="1"/>
    <col min="8720" max="8720" width="11.42578125" style="45"/>
    <col min="8721" max="8721" width="12.140625" style="45" customWidth="1"/>
    <col min="8722" max="8722" width="10.5703125" style="45" customWidth="1"/>
    <col min="8723" max="8723" width="12.42578125" style="45" customWidth="1"/>
    <col min="8724" max="8724" width="15.140625" style="45" customWidth="1"/>
    <col min="8725" max="8725" width="13.5703125" style="45" customWidth="1"/>
    <col min="8726" max="8726" width="13.140625" style="45" customWidth="1"/>
    <col min="8727" max="8727" width="15.7109375" style="45" customWidth="1"/>
    <col min="8728" max="8728" width="37.5703125" style="45" customWidth="1"/>
    <col min="8729" max="8950" width="11.42578125" style="45"/>
    <col min="8951" max="8951" width="10.5703125" style="45" customWidth="1"/>
    <col min="8952" max="8952" width="4.85546875" style="45" customWidth="1"/>
    <col min="8953" max="8953" width="32.42578125" style="45" customWidth="1"/>
    <col min="8954" max="8954" width="9.85546875" style="45" customWidth="1"/>
    <col min="8955" max="8955" width="10.140625" style="45" customWidth="1"/>
    <col min="8956" max="8956" width="12.28515625" style="45" customWidth="1"/>
    <col min="8957" max="8957" width="15.42578125" style="45" customWidth="1"/>
    <col min="8958" max="8958" width="11.85546875" style="45" customWidth="1"/>
    <col min="8959" max="8959" width="13.28515625" style="45" customWidth="1"/>
    <col min="8960" max="8960" width="15.28515625" style="45" customWidth="1"/>
    <col min="8961" max="8961" width="11.85546875" style="45" customWidth="1"/>
    <col min="8962" max="8962" width="6.140625" style="45" customWidth="1"/>
    <col min="8963" max="8963" width="11.85546875" style="45" customWidth="1"/>
    <col min="8964" max="8964" width="9.42578125" style="45" customWidth="1"/>
    <col min="8965" max="8965" width="14.7109375" style="45" customWidth="1"/>
    <col min="8966" max="8966" width="11.5703125" style="45" customWidth="1"/>
    <col min="8967" max="8967" width="0.42578125" style="45" customWidth="1"/>
    <col min="8968" max="8968" width="10.5703125" style="45" bestFit="1" customWidth="1"/>
    <col min="8969" max="8969" width="12.28515625" style="45" customWidth="1"/>
    <col min="8970" max="8970" width="12.5703125" style="45" customWidth="1"/>
    <col min="8971" max="8971" width="10.5703125" style="45" customWidth="1"/>
    <col min="8972" max="8972" width="10.140625" style="45" customWidth="1"/>
    <col min="8973" max="8973" width="8.42578125" style="45" customWidth="1"/>
    <col min="8974" max="8974" width="18.85546875" style="45" customWidth="1"/>
    <col min="8975" max="8975" width="10.28515625" style="45" customWidth="1"/>
    <col min="8976" max="8976" width="11.42578125" style="45"/>
    <col min="8977" max="8977" width="12.140625" style="45" customWidth="1"/>
    <col min="8978" max="8978" width="10.5703125" style="45" customWidth="1"/>
    <col min="8979" max="8979" width="12.42578125" style="45" customWidth="1"/>
    <col min="8980" max="8980" width="15.140625" style="45" customWidth="1"/>
    <col min="8981" max="8981" width="13.5703125" style="45" customWidth="1"/>
    <col min="8982" max="8982" width="13.140625" style="45" customWidth="1"/>
    <col min="8983" max="8983" width="15.7109375" style="45" customWidth="1"/>
    <col min="8984" max="8984" width="37.5703125" style="45" customWidth="1"/>
    <col min="8985" max="9206" width="11.42578125" style="45"/>
    <col min="9207" max="9207" width="10.5703125" style="45" customWidth="1"/>
    <col min="9208" max="9208" width="4.85546875" style="45" customWidth="1"/>
    <col min="9209" max="9209" width="32.42578125" style="45" customWidth="1"/>
    <col min="9210" max="9210" width="9.85546875" style="45" customWidth="1"/>
    <col min="9211" max="9211" width="10.140625" style="45" customWidth="1"/>
    <col min="9212" max="9212" width="12.28515625" style="45" customWidth="1"/>
    <col min="9213" max="9213" width="15.42578125" style="45" customWidth="1"/>
    <col min="9214" max="9214" width="11.85546875" style="45" customWidth="1"/>
    <col min="9215" max="9215" width="13.28515625" style="45" customWidth="1"/>
    <col min="9216" max="9216" width="15.28515625" style="45" customWidth="1"/>
    <col min="9217" max="9217" width="11.85546875" style="45" customWidth="1"/>
    <col min="9218" max="9218" width="6.140625" style="45" customWidth="1"/>
    <col min="9219" max="9219" width="11.85546875" style="45" customWidth="1"/>
    <col min="9220" max="9220" width="9.42578125" style="45" customWidth="1"/>
    <col min="9221" max="9221" width="14.7109375" style="45" customWidth="1"/>
    <col min="9222" max="9222" width="11.5703125" style="45" customWidth="1"/>
    <col min="9223" max="9223" width="0.42578125" style="45" customWidth="1"/>
    <col min="9224" max="9224" width="10.5703125" style="45" bestFit="1" customWidth="1"/>
    <col min="9225" max="9225" width="12.28515625" style="45" customWidth="1"/>
    <col min="9226" max="9226" width="12.5703125" style="45" customWidth="1"/>
    <col min="9227" max="9227" width="10.5703125" style="45" customWidth="1"/>
    <col min="9228" max="9228" width="10.140625" style="45" customWidth="1"/>
    <col min="9229" max="9229" width="8.42578125" style="45" customWidth="1"/>
    <col min="9230" max="9230" width="18.85546875" style="45" customWidth="1"/>
    <col min="9231" max="9231" width="10.28515625" style="45" customWidth="1"/>
    <col min="9232" max="9232" width="11.42578125" style="45"/>
    <col min="9233" max="9233" width="12.140625" style="45" customWidth="1"/>
    <col min="9234" max="9234" width="10.5703125" style="45" customWidth="1"/>
    <col min="9235" max="9235" width="12.42578125" style="45" customWidth="1"/>
    <col min="9236" max="9236" width="15.140625" style="45" customWidth="1"/>
    <col min="9237" max="9237" width="13.5703125" style="45" customWidth="1"/>
    <col min="9238" max="9238" width="13.140625" style="45" customWidth="1"/>
    <col min="9239" max="9239" width="15.7109375" style="45" customWidth="1"/>
    <col min="9240" max="9240" width="37.5703125" style="45" customWidth="1"/>
    <col min="9241" max="9462" width="11.42578125" style="45"/>
    <col min="9463" max="9463" width="10.5703125" style="45" customWidth="1"/>
    <col min="9464" max="9464" width="4.85546875" style="45" customWidth="1"/>
    <col min="9465" max="9465" width="32.42578125" style="45" customWidth="1"/>
    <col min="9466" max="9466" width="9.85546875" style="45" customWidth="1"/>
    <col min="9467" max="9467" width="10.140625" style="45" customWidth="1"/>
    <col min="9468" max="9468" width="12.28515625" style="45" customWidth="1"/>
    <col min="9469" max="9469" width="15.42578125" style="45" customWidth="1"/>
    <col min="9470" max="9470" width="11.85546875" style="45" customWidth="1"/>
    <col min="9471" max="9471" width="13.28515625" style="45" customWidth="1"/>
    <col min="9472" max="9472" width="15.28515625" style="45" customWidth="1"/>
    <col min="9473" max="9473" width="11.85546875" style="45" customWidth="1"/>
    <col min="9474" max="9474" width="6.140625" style="45" customWidth="1"/>
    <col min="9475" max="9475" width="11.85546875" style="45" customWidth="1"/>
    <col min="9476" max="9476" width="9.42578125" style="45" customWidth="1"/>
    <col min="9477" max="9477" width="14.7109375" style="45" customWidth="1"/>
    <col min="9478" max="9478" width="11.5703125" style="45" customWidth="1"/>
    <col min="9479" max="9479" width="0.42578125" style="45" customWidth="1"/>
    <col min="9480" max="9480" width="10.5703125" style="45" bestFit="1" customWidth="1"/>
    <col min="9481" max="9481" width="12.28515625" style="45" customWidth="1"/>
    <col min="9482" max="9482" width="12.5703125" style="45" customWidth="1"/>
    <col min="9483" max="9483" width="10.5703125" style="45" customWidth="1"/>
    <col min="9484" max="9484" width="10.140625" style="45" customWidth="1"/>
    <col min="9485" max="9485" width="8.42578125" style="45" customWidth="1"/>
    <col min="9486" max="9486" width="18.85546875" style="45" customWidth="1"/>
    <col min="9487" max="9487" width="10.28515625" style="45" customWidth="1"/>
    <col min="9488" max="9488" width="11.42578125" style="45"/>
    <col min="9489" max="9489" width="12.140625" style="45" customWidth="1"/>
    <col min="9490" max="9490" width="10.5703125" style="45" customWidth="1"/>
    <col min="9491" max="9491" width="12.42578125" style="45" customWidth="1"/>
    <col min="9492" max="9492" width="15.140625" style="45" customWidth="1"/>
    <col min="9493" max="9493" width="13.5703125" style="45" customWidth="1"/>
    <col min="9494" max="9494" width="13.140625" style="45" customWidth="1"/>
    <col min="9495" max="9495" width="15.7109375" style="45" customWidth="1"/>
    <col min="9496" max="9496" width="37.5703125" style="45" customWidth="1"/>
    <col min="9497" max="9718" width="11.42578125" style="45"/>
    <col min="9719" max="9719" width="10.5703125" style="45" customWidth="1"/>
    <col min="9720" max="9720" width="4.85546875" style="45" customWidth="1"/>
    <col min="9721" max="9721" width="32.42578125" style="45" customWidth="1"/>
    <col min="9722" max="9722" width="9.85546875" style="45" customWidth="1"/>
    <col min="9723" max="9723" width="10.140625" style="45" customWidth="1"/>
    <col min="9724" max="9724" width="12.28515625" style="45" customWidth="1"/>
    <col min="9725" max="9725" width="15.42578125" style="45" customWidth="1"/>
    <col min="9726" max="9726" width="11.85546875" style="45" customWidth="1"/>
    <col min="9727" max="9727" width="13.28515625" style="45" customWidth="1"/>
    <col min="9728" max="9728" width="15.28515625" style="45" customWidth="1"/>
    <col min="9729" max="9729" width="11.85546875" style="45" customWidth="1"/>
    <col min="9730" max="9730" width="6.140625" style="45" customWidth="1"/>
    <col min="9731" max="9731" width="11.85546875" style="45" customWidth="1"/>
    <col min="9732" max="9732" width="9.42578125" style="45" customWidth="1"/>
    <col min="9733" max="9733" width="14.7109375" style="45" customWidth="1"/>
    <col min="9734" max="9734" width="11.5703125" style="45" customWidth="1"/>
    <col min="9735" max="9735" width="0.42578125" style="45" customWidth="1"/>
    <col min="9736" max="9736" width="10.5703125" style="45" bestFit="1" customWidth="1"/>
    <col min="9737" max="9737" width="12.28515625" style="45" customWidth="1"/>
    <col min="9738" max="9738" width="12.5703125" style="45" customWidth="1"/>
    <col min="9739" max="9739" width="10.5703125" style="45" customWidth="1"/>
    <col min="9740" max="9740" width="10.140625" style="45" customWidth="1"/>
    <col min="9741" max="9741" width="8.42578125" style="45" customWidth="1"/>
    <col min="9742" max="9742" width="18.85546875" style="45" customWidth="1"/>
    <col min="9743" max="9743" width="10.28515625" style="45" customWidth="1"/>
    <col min="9744" max="9744" width="11.42578125" style="45"/>
    <col min="9745" max="9745" width="12.140625" style="45" customWidth="1"/>
    <col min="9746" max="9746" width="10.5703125" style="45" customWidth="1"/>
    <col min="9747" max="9747" width="12.42578125" style="45" customWidth="1"/>
    <col min="9748" max="9748" width="15.140625" style="45" customWidth="1"/>
    <col min="9749" max="9749" width="13.5703125" style="45" customWidth="1"/>
    <col min="9750" max="9750" width="13.140625" style="45" customWidth="1"/>
    <col min="9751" max="9751" width="15.7109375" style="45" customWidth="1"/>
    <col min="9752" max="9752" width="37.5703125" style="45" customWidth="1"/>
    <col min="9753" max="9974" width="11.42578125" style="45"/>
    <col min="9975" max="9975" width="10.5703125" style="45" customWidth="1"/>
    <col min="9976" max="9976" width="4.85546875" style="45" customWidth="1"/>
    <col min="9977" max="9977" width="32.42578125" style="45" customWidth="1"/>
    <col min="9978" max="9978" width="9.85546875" style="45" customWidth="1"/>
    <col min="9979" max="9979" width="10.140625" style="45" customWidth="1"/>
    <col min="9980" max="9980" width="12.28515625" style="45" customWidth="1"/>
    <col min="9981" max="9981" width="15.42578125" style="45" customWidth="1"/>
    <col min="9982" max="9982" width="11.85546875" style="45" customWidth="1"/>
    <col min="9983" max="9983" width="13.28515625" style="45" customWidth="1"/>
    <col min="9984" max="9984" width="15.28515625" style="45" customWidth="1"/>
    <col min="9985" max="9985" width="11.85546875" style="45" customWidth="1"/>
    <col min="9986" max="9986" width="6.140625" style="45" customWidth="1"/>
    <col min="9987" max="9987" width="11.85546875" style="45" customWidth="1"/>
    <col min="9988" max="9988" width="9.42578125" style="45" customWidth="1"/>
    <col min="9989" max="9989" width="14.7109375" style="45" customWidth="1"/>
    <col min="9990" max="9990" width="11.5703125" style="45" customWidth="1"/>
    <col min="9991" max="9991" width="0.42578125" style="45" customWidth="1"/>
    <col min="9992" max="9992" width="10.5703125" style="45" bestFit="1" customWidth="1"/>
    <col min="9993" max="9993" width="12.28515625" style="45" customWidth="1"/>
    <col min="9994" max="9994" width="12.5703125" style="45" customWidth="1"/>
    <col min="9995" max="9995" width="10.5703125" style="45" customWidth="1"/>
    <col min="9996" max="9996" width="10.140625" style="45" customWidth="1"/>
    <col min="9997" max="9997" width="8.42578125" style="45" customWidth="1"/>
    <col min="9998" max="9998" width="18.85546875" style="45" customWidth="1"/>
    <col min="9999" max="9999" width="10.28515625" style="45" customWidth="1"/>
    <col min="10000" max="10000" width="11.42578125" style="45"/>
    <col min="10001" max="10001" width="12.140625" style="45" customWidth="1"/>
    <col min="10002" max="10002" width="10.5703125" style="45" customWidth="1"/>
    <col min="10003" max="10003" width="12.42578125" style="45" customWidth="1"/>
    <col min="10004" max="10004" width="15.140625" style="45" customWidth="1"/>
    <col min="10005" max="10005" width="13.5703125" style="45" customWidth="1"/>
    <col min="10006" max="10006" width="13.140625" style="45" customWidth="1"/>
    <col min="10007" max="10007" width="15.7109375" style="45" customWidth="1"/>
    <col min="10008" max="10008" width="37.5703125" style="45" customWidth="1"/>
    <col min="10009" max="10230" width="11.42578125" style="45"/>
    <col min="10231" max="10231" width="10.5703125" style="45" customWidth="1"/>
    <col min="10232" max="10232" width="4.85546875" style="45" customWidth="1"/>
    <col min="10233" max="10233" width="32.42578125" style="45" customWidth="1"/>
    <col min="10234" max="10234" width="9.85546875" style="45" customWidth="1"/>
    <col min="10235" max="10235" width="10.140625" style="45" customWidth="1"/>
    <col min="10236" max="10236" width="12.28515625" style="45" customWidth="1"/>
    <col min="10237" max="10237" width="15.42578125" style="45" customWidth="1"/>
    <col min="10238" max="10238" width="11.85546875" style="45" customWidth="1"/>
    <col min="10239" max="10239" width="13.28515625" style="45" customWidth="1"/>
    <col min="10240" max="10240" width="15.28515625" style="45" customWidth="1"/>
    <col min="10241" max="10241" width="11.85546875" style="45" customWidth="1"/>
    <col min="10242" max="10242" width="6.140625" style="45" customWidth="1"/>
    <col min="10243" max="10243" width="11.85546875" style="45" customWidth="1"/>
    <col min="10244" max="10244" width="9.42578125" style="45" customWidth="1"/>
    <col min="10245" max="10245" width="14.7109375" style="45" customWidth="1"/>
    <col min="10246" max="10246" width="11.5703125" style="45" customWidth="1"/>
    <col min="10247" max="10247" width="0.42578125" style="45" customWidth="1"/>
    <col min="10248" max="10248" width="10.5703125" style="45" bestFit="1" customWidth="1"/>
    <col min="10249" max="10249" width="12.28515625" style="45" customWidth="1"/>
    <col min="10250" max="10250" width="12.5703125" style="45" customWidth="1"/>
    <col min="10251" max="10251" width="10.5703125" style="45" customWidth="1"/>
    <col min="10252" max="10252" width="10.140625" style="45" customWidth="1"/>
    <col min="10253" max="10253" width="8.42578125" style="45" customWidth="1"/>
    <col min="10254" max="10254" width="18.85546875" style="45" customWidth="1"/>
    <col min="10255" max="10255" width="10.28515625" style="45" customWidth="1"/>
    <col min="10256" max="10256" width="11.42578125" style="45"/>
    <col min="10257" max="10257" width="12.140625" style="45" customWidth="1"/>
    <col min="10258" max="10258" width="10.5703125" style="45" customWidth="1"/>
    <col min="10259" max="10259" width="12.42578125" style="45" customWidth="1"/>
    <col min="10260" max="10260" width="15.140625" style="45" customWidth="1"/>
    <col min="10261" max="10261" width="13.5703125" style="45" customWidth="1"/>
    <col min="10262" max="10262" width="13.140625" style="45" customWidth="1"/>
    <col min="10263" max="10263" width="15.7109375" style="45" customWidth="1"/>
    <col min="10264" max="10264" width="37.5703125" style="45" customWidth="1"/>
    <col min="10265" max="10486" width="11.42578125" style="45"/>
    <col min="10487" max="10487" width="10.5703125" style="45" customWidth="1"/>
    <col min="10488" max="10488" width="4.85546875" style="45" customWidth="1"/>
    <col min="10489" max="10489" width="32.42578125" style="45" customWidth="1"/>
    <col min="10490" max="10490" width="9.85546875" style="45" customWidth="1"/>
    <col min="10491" max="10491" width="10.140625" style="45" customWidth="1"/>
    <col min="10492" max="10492" width="12.28515625" style="45" customWidth="1"/>
    <col min="10493" max="10493" width="15.42578125" style="45" customWidth="1"/>
    <col min="10494" max="10494" width="11.85546875" style="45" customWidth="1"/>
    <col min="10495" max="10495" width="13.28515625" style="45" customWidth="1"/>
    <col min="10496" max="10496" width="15.28515625" style="45" customWidth="1"/>
    <col min="10497" max="10497" width="11.85546875" style="45" customWidth="1"/>
    <col min="10498" max="10498" width="6.140625" style="45" customWidth="1"/>
    <col min="10499" max="10499" width="11.85546875" style="45" customWidth="1"/>
    <col min="10500" max="10500" width="9.42578125" style="45" customWidth="1"/>
    <col min="10501" max="10501" width="14.7109375" style="45" customWidth="1"/>
    <col min="10502" max="10502" width="11.5703125" style="45" customWidth="1"/>
    <col min="10503" max="10503" width="0.42578125" style="45" customWidth="1"/>
    <col min="10504" max="10504" width="10.5703125" style="45" bestFit="1" customWidth="1"/>
    <col min="10505" max="10505" width="12.28515625" style="45" customWidth="1"/>
    <col min="10506" max="10506" width="12.5703125" style="45" customWidth="1"/>
    <col min="10507" max="10507" width="10.5703125" style="45" customWidth="1"/>
    <col min="10508" max="10508" width="10.140625" style="45" customWidth="1"/>
    <col min="10509" max="10509" width="8.42578125" style="45" customWidth="1"/>
    <col min="10510" max="10510" width="18.85546875" style="45" customWidth="1"/>
    <col min="10511" max="10511" width="10.28515625" style="45" customWidth="1"/>
    <col min="10512" max="10512" width="11.42578125" style="45"/>
    <col min="10513" max="10513" width="12.140625" style="45" customWidth="1"/>
    <col min="10514" max="10514" width="10.5703125" style="45" customWidth="1"/>
    <col min="10515" max="10515" width="12.42578125" style="45" customWidth="1"/>
    <col min="10516" max="10516" width="15.140625" style="45" customWidth="1"/>
    <col min="10517" max="10517" width="13.5703125" style="45" customWidth="1"/>
    <col min="10518" max="10518" width="13.140625" style="45" customWidth="1"/>
    <col min="10519" max="10519" width="15.7109375" style="45" customWidth="1"/>
    <col min="10520" max="10520" width="37.5703125" style="45" customWidth="1"/>
    <col min="10521" max="10742" width="11.42578125" style="45"/>
    <col min="10743" max="10743" width="10.5703125" style="45" customWidth="1"/>
    <col min="10744" max="10744" width="4.85546875" style="45" customWidth="1"/>
    <col min="10745" max="10745" width="32.42578125" style="45" customWidth="1"/>
    <col min="10746" max="10746" width="9.85546875" style="45" customWidth="1"/>
    <col min="10747" max="10747" width="10.140625" style="45" customWidth="1"/>
    <col min="10748" max="10748" width="12.28515625" style="45" customWidth="1"/>
    <col min="10749" max="10749" width="15.42578125" style="45" customWidth="1"/>
    <col min="10750" max="10750" width="11.85546875" style="45" customWidth="1"/>
    <col min="10751" max="10751" width="13.28515625" style="45" customWidth="1"/>
    <col min="10752" max="10752" width="15.28515625" style="45" customWidth="1"/>
    <col min="10753" max="10753" width="11.85546875" style="45" customWidth="1"/>
    <col min="10754" max="10754" width="6.140625" style="45" customWidth="1"/>
    <col min="10755" max="10755" width="11.85546875" style="45" customWidth="1"/>
    <col min="10756" max="10756" width="9.42578125" style="45" customWidth="1"/>
    <col min="10757" max="10757" width="14.7109375" style="45" customWidth="1"/>
    <col min="10758" max="10758" width="11.5703125" style="45" customWidth="1"/>
    <col min="10759" max="10759" width="0.42578125" style="45" customWidth="1"/>
    <col min="10760" max="10760" width="10.5703125" style="45" bestFit="1" customWidth="1"/>
    <col min="10761" max="10761" width="12.28515625" style="45" customWidth="1"/>
    <col min="10762" max="10762" width="12.5703125" style="45" customWidth="1"/>
    <col min="10763" max="10763" width="10.5703125" style="45" customWidth="1"/>
    <col min="10764" max="10764" width="10.140625" style="45" customWidth="1"/>
    <col min="10765" max="10765" width="8.42578125" style="45" customWidth="1"/>
    <col min="10766" max="10766" width="18.85546875" style="45" customWidth="1"/>
    <col min="10767" max="10767" width="10.28515625" style="45" customWidth="1"/>
    <col min="10768" max="10768" width="11.42578125" style="45"/>
    <col min="10769" max="10769" width="12.140625" style="45" customWidth="1"/>
    <col min="10770" max="10770" width="10.5703125" style="45" customWidth="1"/>
    <col min="10771" max="10771" width="12.42578125" style="45" customWidth="1"/>
    <col min="10772" max="10772" width="15.140625" style="45" customWidth="1"/>
    <col min="10773" max="10773" width="13.5703125" style="45" customWidth="1"/>
    <col min="10774" max="10774" width="13.140625" style="45" customWidth="1"/>
    <col min="10775" max="10775" width="15.7109375" style="45" customWidth="1"/>
    <col min="10776" max="10776" width="37.5703125" style="45" customWidth="1"/>
    <col min="10777" max="10998" width="11.42578125" style="45"/>
    <col min="10999" max="10999" width="10.5703125" style="45" customWidth="1"/>
    <col min="11000" max="11000" width="4.85546875" style="45" customWidth="1"/>
    <col min="11001" max="11001" width="32.42578125" style="45" customWidth="1"/>
    <col min="11002" max="11002" width="9.85546875" style="45" customWidth="1"/>
    <col min="11003" max="11003" width="10.140625" style="45" customWidth="1"/>
    <col min="11004" max="11004" width="12.28515625" style="45" customWidth="1"/>
    <col min="11005" max="11005" width="15.42578125" style="45" customWidth="1"/>
    <col min="11006" max="11006" width="11.85546875" style="45" customWidth="1"/>
    <col min="11007" max="11007" width="13.28515625" style="45" customWidth="1"/>
    <col min="11008" max="11008" width="15.28515625" style="45" customWidth="1"/>
    <col min="11009" max="11009" width="11.85546875" style="45" customWidth="1"/>
    <col min="11010" max="11010" width="6.140625" style="45" customWidth="1"/>
    <col min="11011" max="11011" width="11.85546875" style="45" customWidth="1"/>
    <col min="11012" max="11012" width="9.42578125" style="45" customWidth="1"/>
    <col min="11013" max="11013" width="14.7109375" style="45" customWidth="1"/>
    <col min="11014" max="11014" width="11.5703125" style="45" customWidth="1"/>
    <col min="11015" max="11015" width="0.42578125" style="45" customWidth="1"/>
    <col min="11016" max="11016" width="10.5703125" style="45" bestFit="1" customWidth="1"/>
    <col min="11017" max="11017" width="12.28515625" style="45" customWidth="1"/>
    <col min="11018" max="11018" width="12.5703125" style="45" customWidth="1"/>
    <col min="11019" max="11019" width="10.5703125" style="45" customWidth="1"/>
    <col min="11020" max="11020" width="10.140625" style="45" customWidth="1"/>
    <col min="11021" max="11021" width="8.42578125" style="45" customWidth="1"/>
    <col min="11022" max="11022" width="18.85546875" style="45" customWidth="1"/>
    <col min="11023" max="11023" width="10.28515625" style="45" customWidth="1"/>
    <col min="11024" max="11024" width="11.42578125" style="45"/>
    <col min="11025" max="11025" width="12.140625" style="45" customWidth="1"/>
    <col min="11026" max="11026" width="10.5703125" style="45" customWidth="1"/>
    <col min="11027" max="11027" width="12.42578125" style="45" customWidth="1"/>
    <col min="11028" max="11028" width="15.140625" style="45" customWidth="1"/>
    <col min="11029" max="11029" width="13.5703125" style="45" customWidth="1"/>
    <col min="11030" max="11030" width="13.140625" style="45" customWidth="1"/>
    <col min="11031" max="11031" width="15.7109375" style="45" customWidth="1"/>
    <col min="11032" max="11032" width="37.5703125" style="45" customWidth="1"/>
    <col min="11033" max="11254" width="11.42578125" style="45"/>
    <col min="11255" max="11255" width="10.5703125" style="45" customWidth="1"/>
    <col min="11256" max="11256" width="4.85546875" style="45" customWidth="1"/>
    <col min="11257" max="11257" width="32.42578125" style="45" customWidth="1"/>
    <col min="11258" max="11258" width="9.85546875" style="45" customWidth="1"/>
    <col min="11259" max="11259" width="10.140625" style="45" customWidth="1"/>
    <col min="11260" max="11260" width="12.28515625" style="45" customWidth="1"/>
    <col min="11261" max="11261" width="15.42578125" style="45" customWidth="1"/>
    <col min="11262" max="11262" width="11.85546875" style="45" customWidth="1"/>
    <col min="11263" max="11263" width="13.28515625" style="45" customWidth="1"/>
    <col min="11264" max="11264" width="15.28515625" style="45" customWidth="1"/>
    <col min="11265" max="11265" width="11.85546875" style="45" customWidth="1"/>
    <col min="11266" max="11266" width="6.140625" style="45" customWidth="1"/>
    <col min="11267" max="11267" width="11.85546875" style="45" customWidth="1"/>
    <col min="11268" max="11268" width="9.42578125" style="45" customWidth="1"/>
    <col min="11269" max="11269" width="14.7109375" style="45" customWidth="1"/>
    <col min="11270" max="11270" width="11.5703125" style="45" customWidth="1"/>
    <col min="11271" max="11271" width="0.42578125" style="45" customWidth="1"/>
    <col min="11272" max="11272" width="10.5703125" style="45" bestFit="1" customWidth="1"/>
    <col min="11273" max="11273" width="12.28515625" style="45" customWidth="1"/>
    <col min="11274" max="11274" width="12.5703125" style="45" customWidth="1"/>
    <col min="11275" max="11275" width="10.5703125" style="45" customWidth="1"/>
    <col min="11276" max="11276" width="10.140625" style="45" customWidth="1"/>
    <col min="11277" max="11277" width="8.42578125" style="45" customWidth="1"/>
    <col min="11278" max="11278" width="18.85546875" style="45" customWidth="1"/>
    <col min="11279" max="11279" width="10.28515625" style="45" customWidth="1"/>
    <col min="11280" max="11280" width="11.42578125" style="45"/>
    <col min="11281" max="11281" width="12.140625" style="45" customWidth="1"/>
    <col min="11282" max="11282" width="10.5703125" style="45" customWidth="1"/>
    <col min="11283" max="11283" width="12.42578125" style="45" customWidth="1"/>
    <col min="11284" max="11284" width="15.140625" style="45" customWidth="1"/>
    <col min="11285" max="11285" width="13.5703125" style="45" customWidth="1"/>
    <col min="11286" max="11286" width="13.140625" style="45" customWidth="1"/>
    <col min="11287" max="11287" width="15.7109375" style="45" customWidth="1"/>
    <col min="11288" max="11288" width="37.5703125" style="45" customWidth="1"/>
    <col min="11289" max="11510" width="11.42578125" style="45"/>
    <col min="11511" max="11511" width="10.5703125" style="45" customWidth="1"/>
    <col min="11512" max="11512" width="4.85546875" style="45" customWidth="1"/>
    <col min="11513" max="11513" width="32.42578125" style="45" customWidth="1"/>
    <col min="11514" max="11514" width="9.85546875" style="45" customWidth="1"/>
    <col min="11515" max="11515" width="10.140625" style="45" customWidth="1"/>
    <col min="11516" max="11516" width="12.28515625" style="45" customWidth="1"/>
    <col min="11517" max="11517" width="15.42578125" style="45" customWidth="1"/>
    <col min="11518" max="11518" width="11.85546875" style="45" customWidth="1"/>
    <col min="11519" max="11519" width="13.28515625" style="45" customWidth="1"/>
    <col min="11520" max="11520" width="15.28515625" style="45" customWidth="1"/>
    <col min="11521" max="11521" width="11.85546875" style="45" customWidth="1"/>
    <col min="11522" max="11522" width="6.140625" style="45" customWidth="1"/>
    <col min="11523" max="11523" width="11.85546875" style="45" customWidth="1"/>
    <col min="11524" max="11524" width="9.42578125" style="45" customWidth="1"/>
    <col min="11525" max="11525" width="14.7109375" style="45" customWidth="1"/>
    <col min="11526" max="11526" width="11.5703125" style="45" customWidth="1"/>
    <col min="11527" max="11527" width="0.42578125" style="45" customWidth="1"/>
    <col min="11528" max="11528" width="10.5703125" style="45" bestFit="1" customWidth="1"/>
    <col min="11529" max="11529" width="12.28515625" style="45" customWidth="1"/>
    <col min="11530" max="11530" width="12.5703125" style="45" customWidth="1"/>
    <col min="11531" max="11531" width="10.5703125" style="45" customWidth="1"/>
    <col min="11532" max="11532" width="10.140625" style="45" customWidth="1"/>
    <col min="11533" max="11533" width="8.42578125" style="45" customWidth="1"/>
    <col min="11534" max="11534" width="18.85546875" style="45" customWidth="1"/>
    <col min="11535" max="11535" width="10.28515625" style="45" customWidth="1"/>
    <col min="11536" max="11536" width="11.42578125" style="45"/>
    <col min="11537" max="11537" width="12.140625" style="45" customWidth="1"/>
    <col min="11538" max="11538" width="10.5703125" style="45" customWidth="1"/>
    <col min="11539" max="11539" width="12.42578125" style="45" customWidth="1"/>
    <col min="11540" max="11540" width="15.140625" style="45" customWidth="1"/>
    <col min="11541" max="11541" width="13.5703125" style="45" customWidth="1"/>
    <col min="11542" max="11542" width="13.140625" style="45" customWidth="1"/>
    <col min="11543" max="11543" width="15.7109375" style="45" customWidth="1"/>
    <col min="11544" max="11544" width="37.5703125" style="45" customWidth="1"/>
    <col min="11545" max="11766" width="11.42578125" style="45"/>
    <col min="11767" max="11767" width="10.5703125" style="45" customWidth="1"/>
    <col min="11768" max="11768" width="4.85546875" style="45" customWidth="1"/>
    <col min="11769" max="11769" width="32.42578125" style="45" customWidth="1"/>
    <col min="11770" max="11770" width="9.85546875" style="45" customWidth="1"/>
    <col min="11771" max="11771" width="10.140625" style="45" customWidth="1"/>
    <col min="11772" max="11772" width="12.28515625" style="45" customWidth="1"/>
    <col min="11773" max="11773" width="15.42578125" style="45" customWidth="1"/>
    <col min="11774" max="11774" width="11.85546875" style="45" customWidth="1"/>
    <col min="11775" max="11775" width="13.28515625" style="45" customWidth="1"/>
    <col min="11776" max="11776" width="15.28515625" style="45" customWidth="1"/>
    <col min="11777" max="11777" width="11.85546875" style="45" customWidth="1"/>
    <col min="11778" max="11778" width="6.140625" style="45" customWidth="1"/>
    <col min="11779" max="11779" width="11.85546875" style="45" customWidth="1"/>
    <col min="11780" max="11780" width="9.42578125" style="45" customWidth="1"/>
    <col min="11781" max="11781" width="14.7109375" style="45" customWidth="1"/>
    <col min="11782" max="11782" width="11.5703125" style="45" customWidth="1"/>
    <col min="11783" max="11783" width="0.42578125" style="45" customWidth="1"/>
    <col min="11784" max="11784" width="10.5703125" style="45" bestFit="1" customWidth="1"/>
    <col min="11785" max="11785" width="12.28515625" style="45" customWidth="1"/>
    <col min="11786" max="11786" width="12.5703125" style="45" customWidth="1"/>
    <col min="11787" max="11787" width="10.5703125" style="45" customWidth="1"/>
    <col min="11788" max="11788" width="10.140625" style="45" customWidth="1"/>
    <col min="11789" max="11789" width="8.42578125" style="45" customWidth="1"/>
    <col min="11790" max="11790" width="18.85546875" style="45" customWidth="1"/>
    <col min="11791" max="11791" width="10.28515625" style="45" customWidth="1"/>
    <col min="11792" max="11792" width="11.42578125" style="45"/>
    <col min="11793" max="11793" width="12.140625" style="45" customWidth="1"/>
    <col min="11794" max="11794" width="10.5703125" style="45" customWidth="1"/>
    <col min="11795" max="11795" width="12.42578125" style="45" customWidth="1"/>
    <col min="11796" max="11796" width="15.140625" style="45" customWidth="1"/>
    <col min="11797" max="11797" width="13.5703125" style="45" customWidth="1"/>
    <col min="11798" max="11798" width="13.140625" style="45" customWidth="1"/>
    <col min="11799" max="11799" width="15.7109375" style="45" customWidth="1"/>
    <col min="11800" max="11800" width="37.5703125" style="45" customWidth="1"/>
    <col min="11801" max="12022" width="11.42578125" style="45"/>
    <col min="12023" max="12023" width="10.5703125" style="45" customWidth="1"/>
    <col min="12024" max="12024" width="4.85546875" style="45" customWidth="1"/>
    <col min="12025" max="12025" width="32.42578125" style="45" customWidth="1"/>
    <col min="12026" max="12026" width="9.85546875" style="45" customWidth="1"/>
    <col min="12027" max="12027" width="10.140625" style="45" customWidth="1"/>
    <col min="12028" max="12028" width="12.28515625" style="45" customWidth="1"/>
    <col min="12029" max="12029" width="15.42578125" style="45" customWidth="1"/>
    <col min="12030" max="12030" width="11.85546875" style="45" customWidth="1"/>
    <col min="12031" max="12031" width="13.28515625" style="45" customWidth="1"/>
    <col min="12032" max="12032" width="15.28515625" style="45" customWidth="1"/>
    <col min="12033" max="12033" width="11.85546875" style="45" customWidth="1"/>
    <col min="12034" max="12034" width="6.140625" style="45" customWidth="1"/>
    <col min="12035" max="12035" width="11.85546875" style="45" customWidth="1"/>
    <col min="12036" max="12036" width="9.42578125" style="45" customWidth="1"/>
    <col min="12037" max="12037" width="14.7109375" style="45" customWidth="1"/>
    <col min="12038" max="12038" width="11.5703125" style="45" customWidth="1"/>
    <col min="12039" max="12039" width="0.42578125" style="45" customWidth="1"/>
    <col min="12040" max="12040" width="10.5703125" style="45" bestFit="1" customWidth="1"/>
    <col min="12041" max="12041" width="12.28515625" style="45" customWidth="1"/>
    <col min="12042" max="12042" width="12.5703125" style="45" customWidth="1"/>
    <col min="12043" max="12043" width="10.5703125" style="45" customWidth="1"/>
    <col min="12044" max="12044" width="10.140625" style="45" customWidth="1"/>
    <col min="12045" max="12045" width="8.42578125" style="45" customWidth="1"/>
    <col min="12046" max="12046" width="18.85546875" style="45" customWidth="1"/>
    <col min="12047" max="12047" width="10.28515625" style="45" customWidth="1"/>
    <col min="12048" max="12048" width="11.42578125" style="45"/>
    <col min="12049" max="12049" width="12.140625" style="45" customWidth="1"/>
    <col min="12050" max="12050" width="10.5703125" style="45" customWidth="1"/>
    <col min="12051" max="12051" width="12.42578125" style="45" customWidth="1"/>
    <col min="12052" max="12052" width="15.140625" style="45" customWidth="1"/>
    <col min="12053" max="12053" width="13.5703125" style="45" customWidth="1"/>
    <col min="12054" max="12054" width="13.140625" style="45" customWidth="1"/>
    <col min="12055" max="12055" width="15.7109375" style="45" customWidth="1"/>
    <col min="12056" max="12056" width="37.5703125" style="45" customWidth="1"/>
    <col min="12057" max="12278" width="11.42578125" style="45"/>
    <col min="12279" max="12279" width="10.5703125" style="45" customWidth="1"/>
    <col min="12280" max="12280" width="4.85546875" style="45" customWidth="1"/>
    <col min="12281" max="12281" width="32.42578125" style="45" customWidth="1"/>
    <col min="12282" max="12282" width="9.85546875" style="45" customWidth="1"/>
    <col min="12283" max="12283" width="10.140625" style="45" customWidth="1"/>
    <col min="12284" max="12284" width="12.28515625" style="45" customWidth="1"/>
    <col min="12285" max="12285" width="15.42578125" style="45" customWidth="1"/>
    <col min="12286" max="12286" width="11.85546875" style="45" customWidth="1"/>
    <col min="12287" max="12287" width="13.28515625" style="45" customWidth="1"/>
    <col min="12288" max="12288" width="15.28515625" style="45" customWidth="1"/>
    <col min="12289" max="12289" width="11.85546875" style="45" customWidth="1"/>
    <col min="12290" max="12290" width="6.140625" style="45" customWidth="1"/>
    <col min="12291" max="12291" width="11.85546875" style="45" customWidth="1"/>
    <col min="12292" max="12292" width="9.42578125" style="45" customWidth="1"/>
    <col min="12293" max="12293" width="14.7109375" style="45" customWidth="1"/>
    <col min="12294" max="12294" width="11.5703125" style="45" customWidth="1"/>
    <col min="12295" max="12295" width="0.42578125" style="45" customWidth="1"/>
    <col min="12296" max="12296" width="10.5703125" style="45" bestFit="1" customWidth="1"/>
    <col min="12297" max="12297" width="12.28515625" style="45" customWidth="1"/>
    <col min="12298" max="12298" width="12.5703125" style="45" customWidth="1"/>
    <col min="12299" max="12299" width="10.5703125" style="45" customWidth="1"/>
    <col min="12300" max="12300" width="10.140625" style="45" customWidth="1"/>
    <col min="12301" max="12301" width="8.42578125" style="45" customWidth="1"/>
    <col min="12302" max="12302" width="18.85546875" style="45" customWidth="1"/>
    <col min="12303" max="12303" width="10.28515625" style="45" customWidth="1"/>
    <col min="12304" max="12304" width="11.42578125" style="45"/>
    <col min="12305" max="12305" width="12.140625" style="45" customWidth="1"/>
    <col min="12306" max="12306" width="10.5703125" style="45" customWidth="1"/>
    <col min="12307" max="12307" width="12.42578125" style="45" customWidth="1"/>
    <col min="12308" max="12308" width="15.140625" style="45" customWidth="1"/>
    <col min="12309" max="12309" width="13.5703125" style="45" customWidth="1"/>
    <col min="12310" max="12310" width="13.140625" style="45" customWidth="1"/>
    <col min="12311" max="12311" width="15.7109375" style="45" customWidth="1"/>
    <col min="12312" max="12312" width="37.5703125" style="45" customWidth="1"/>
    <col min="12313" max="12534" width="11.42578125" style="45"/>
    <col min="12535" max="12535" width="10.5703125" style="45" customWidth="1"/>
    <col min="12536" max="12536" width="4.85546875" style="45" customWidth="1"/>
    <col min="12537" max="12537" width="32.42578125" style="45" customWidth="1"/>
    <col min="12538" max="12538" width="9.85546875" style="45" customWidth="1"/>
    <col min="12539" max="12539" width="10.140625" style="45" customWidth="1"/>
    <col min="12540" max="12540" width="12.28515625" style="45" customWidth="1"/>
    <col min="12541" max="12541" width="15.42578125" style="45" customWidth="1"/>
    <col min="12542" max="12542" width="11.85546875" style="45" customWidth="1"/>
    <col min="12543" max="12543" width="13.28515625" style="45" customWidth="1"/>
    <col min="12544" max="12544" width="15.28515625" style="45" customWidth="1"/>
    <col min="12545" max="12545" width="11.85546875" style="45" customWidth="1"/>
    <col min="12546" max="12546" width="6.140625" style="45" customWidth="1"/>
    <col min="12547" max="12547" width="11.85546875" style="45" customWidth="1"/>
    <col min="12548" max="12548" width="9.42578125" style="45" customWidth="1"/>
    <col min="12549" max="12549" width="14.7109375" style="45" customWidth="1"/>
    <col min="12550" max="12550" width="11.5703125" style="45" customWidth="1"/>
    <col min="12551" max="12551" width="0.42578125" style="45" customWidth="1"/>
    <col min="12552" max="12552" width="10.5703125" style="45" bestFit="1" customWidth="1"/>
    <col min="12553" max="12553" width="12.28515625" style="45" customWidth="1"/>
    <col min="12554" max="12554" width="12.5703125" style="45" customWidth="1"/>
    <col min="12555" max="12555" width="10.5703125" style="45" customWidth="1"/>
    <col min="12556" max="12556" width="10.140625" style="45" customWidth="1"/>
    <col min="12557" max="12557" width="8.42578125" style="45" customWidth="1"/>
    <col min="12558" max="12558" width="18.85546875" style="45" customWidth="1"/>
    <col min="12559" max="12559" width="10.28515625" style="45" customWidth="1"/>
    <col min="12560" max="12560" width="11.42578125" style="45"/>
    <col min="12561" max="12561" width="12.140625" style="45" customWidth="1"/>
    <col min="12562" max="12562" width="10.5703125" style="45" customWidth="1"/>
    <col min="12563" max="12563" width="12.42578125" style="45" customWidth="1"/>
    <col min="12564" max="12564" width="15.140625" style="45" customWidth="1"/>
    <col min="12565" max="12565" width="13.5703125" style="45" customWidth="1"/>
    <col min="12566" max="12566" width="13.140625" style="45" customWidth="1"/>
    <col min="12567" max="12567" width="15.7109375" style="45" customWidth="1"/>
    <col min="12568" max="12568" width="37.5703125" style="45" customWidth="1"/>
    <col min="12569" max="12790" width="11.42578125" style="45"/>
    <col min="12791" max="12791" width="10.5703125" style="45" customWidth="1"/>
    <col min="12792" max="12792" width="4.85546875" style="45" customWidth="1"/>
    <col min="12793" max="12793" width="32.42578125" style="45" customWidth="1"/>
    <col min="12794" max="12794" width="9.85546875" style="45" customWidth="1"/>
    <col min="12795" max="12795" width="10.140625" style="45" customWidth="1"/>
    <col min="12796" max="12796" width="12.28515625" style="45" customWidth="1"/>
    <col min="12797" max="12797" width="15.42578125" style="45" customWidth="1"/>
    <col min="12798" max="12798" width="11.85546875" style="45" customWidth="1"/>
    <col min="12799" max="12799" width="13.28515625" style="45" customWidth="1"/>
    <col min="12800" max="12800" width="15.28515625" style="45" customWidth="1"/>
    <col min="12801" max="12801" width="11.85546875" style="45" customWidth="1"/>
    <col min="12802" max="12802" width="6.140625" style="45" customWidth="1"/>
    <col min="12803" max="12803" width="11.85546875" style="45" customWidth="1"/>
    <col min="12804" max="12804" width="9.42578125" style="45" customWidth="1"/>
    <col min="12805" max="12805" width="14.7109375" style="45" customWidth="1"/>
    <col min="12806" max="12806" width="11.5703125" style="45" customWidth="1"/>
    <col min="12807" max="12807" width="0.42578125" style="45" customWidth="1"/>
    <col min="12808" max="12808" width="10.5703125" style="45" bestFit="1" customWidth="1"/>
    <col min="12809" max="12809" width="12.28515625" style="45" customWidth="1"/>
    <col min="12810" max="12810" width="12.5703125" style="45" customWidth="1"/>
    <col min="12811" max="12811" width="10.5703125" style="45" customWidth="1"/>
    <col min="12812" max="12812" width="10.140625" style="45" customWidth="1"/>
    <col min="12813" max="12813" width="8.42578125" style="45" customWidth="1"/>
    <col min="12814" max="12814" width="18.85546875" style="45" customWidth="1"/>
    <col min="12815" max="12815" width="10.28515625" style="45" customWidth="1"/>
    <col min="12816" max="12816" width="11.42578125" style="45"/>
    <col min="12817" max="12817" width="12.140625" style="45" customWidth="1"/>
    <col min="12818" max="12818" width="10.5703125" style="45" customWidth="1"/>
    <col min="12819" max="12819" width="12.42578125" style="45" customWidth="1"/>
    <col min="12820" max="12820" width="15.140625" style="45" customWidth="1"/>
    <col min="12821" max="12821" width="13.5703125" style="45" customWidth="1"/>
    <col min="12822" max="12822" width="13.140625" style="45" customWidth="1"/>
    <col min="12823" max="12823" width="15.7109375" style="45" customWidth="1"/>
    <col min="12824" max="12824" width="37.5703125" style="45" customWidth="1"/>
    <col min="12825" max="13046" width="11.42578125" style="45"/>
    <col min="13047" max="13047" width="10.5703125" style="45" customWidth="1"/>
    <col min="13048" max="13048" width="4.85546875" style="45" customWidth="1"/>
    <col min="13049" max="13049" width="32.42578125" style="45" customWidth="1"/>
    <col min="13050" max="13050" width="9.85546875" style="45" customWidth="1"/>
    <col min="13051" max="13051" width="10.140625" style="45" customWidth="1"/>
    <col min="13052" max="13052" width="12.28515625" style="45" customWidth="1"/>
    <col min="13053" max="13053" width="15.42578125" style="45" customWidth="1"/>
    <col min="13054" max="13054" width="11.85546875" style="45" customWidth="1"/>
    <col min="13055" max="13055" width="13.28515625" style="45" customWidth="1"/>
    <col min="13056" max="13056" width="15.28515625" style="45" customWidth="1"/>
    <col min="13057" max="13057" width="11.85546875" style="45" customWidth="1"/>
    <col min="13058" max="13058" width="6.140625" style="45" customWidth="1"/>
    <col min="13059" max="13059" width="11.85546875" style="45" customWidth="1"/>
    <col min="13060" max="13060" width="9.42578125" style="45" customWidth="1"/>
    <col min="13061" max="13061" width="14.7109375" style="45" customWidth="1"/>
    <col min="13062" max="13062" width="11.5703125" style="45" customWidth="1"/>
    <col min="13063" max="13063" width="0.42578125" style="45" customWidth="1"/>
    <col min="13064" max="13064" width="10.5703125" style="45" bestFit="1" customWidth="1"/>
    <col min="13065" max="13065" width="12.28515625" style="45" customWidth="1"/>
    <col min="13066" max="13066" width="12.5703125" style="45" customWidth="1"/>
    <col min="13067" max="13067" width="10.5703125" style="45" customWidth="1"/>
    <col min="13068" max="13068" width="10.140625" style="45" customWidth="1"/>
    <col min="13069" max="13069" width="8.42578125" style="45" customWidth="1"/>
    <col min="13070" max="13070" width="18.85546875" style="45" customWidth="1"/>
    <col min="13071" max="13071" width="10.28515625" style="45" customWidth="1"/>
    <col min="13072" max="13072" width="11.42578125" style="45"/>
    <col min="13073" max="13073" width="12.140625" style="45" customWidth="1"/>
    <col min="13074" max="13074" width="10.5703125" style="45" customWidth="1"/>
    <col min="13075" max="13075" width="12.42578125" style="45" customWidth="1"/>
    <col min="13076" max="13076" width="15.140625" style="45" customWidth="1"/>
    <col min="13077" max="13077" width="13.5703125" style="45" customWidth="1"/>
    <col min="13078" max="13078" width="13.140625" style="45" customWidth="1"/>
    <col min="13079" max="13079" width="15.7109375" style="45" customWidth="1"/>
    <col min="13080" max="13080" width="37.5703125" style="45" customWidth="1"/>
    <col min="13081" max="13302" width="11.42578125" style="45"/>
    <col min="13303" max="13303" width="10.5703125" style="45" customWidth="1"/>
    <col min="13304" max="13304" width="4.85546875" style="45" customWidth="1"/>
    <col min="13305" max="13305" width="32.42578125" style="45" customWidth="1"/>
    <col min="13306" max="13306" width="9.85546875" style="45" customWidth="1"/>
    <col min="13307" max="13307" width="10.140625" style="45" customWidth="1"/>
    <col min="13308" max="13308" width="12.28515625" style="45" customWidth="1"/>
    <col min="13309" max="13309" width="15.42578125" style="45" customWidth="1"/>
    <col min="13310" max="13310" width="11.85546875" style="45" customWidth="1"/>
    <col min="13311" max="13311" width="13.28515625" style="45" customWidth="1"/>
    <col min="13312" max="13312" width="15.28515625" style="45" customWidth="1"/>
    <col min="13313" max="13313" width="11.85546875" style="45" customWidth="1"/>
    <col min="13314" max="13314" width="6.140625" style="45" customWidth="1"/>
    <col min="13315" max="13315" width="11.85546875" style="45" customWidth="1"/>
    <col min="13316" max="13316" width="9.42578125" style="45" customWidth="1"/>
    <col min="13317" max="13317" width="14.7109375" style="45" customWidth="1"/>
    <col min="13318" max="13318" width="11.5703125" style="45" customWidth="1"/>
    <col min="13319" max="13319" width="0.42578125" style="45" customWidth="1"/>
    <col min="13320" max="13320" width="10.5703125" style="45" bestFit="1" customWidth="1"/>
    <col min="13321" max="13321" width="12.28515625" style="45" customWidth="1"/>
    <col min="13322" max="13322" width="12.5703125" style="45" customWidth="1"/>
    <col min="13323" max="13323" width="10.5703125" style="45" customWidth="1"/>
    <col min="13324" max="13324" width="10.140625" style="45" customWidth="1"/>
    <col min="13325" max="13325" width="8.42578125" style="45" customWidth="1"/>
    <col min="13326" max="13326" width="18.85546875" style="45" customWidth="1"/>
    <col min="13327" max="13327" width="10.28515625" style="45" customWidth="1"/>
    <col min="13328" max="13328" width="11.42578125" style="45"/>
    <col min="13329" max="13329" width="12.140625" style="45" customWidth="1"/>
    <col min="13330" max="13330" width="10.5703125" style="45" customWidth="1"/>
    <col min="13331" max="13331" width="12.42578125" style="45" customWidth="1"/>
    <col min="13332" max="13332" width="15.140625" style="45" customWidth="1"/>
    <col min="13333" max="13333" width="13.5703125" style="45" customWidth="1"/>
    <col min="13334" max="13334" width="13.140625" style="45" customWidth="1"/>
    <col min="13335" max="13335" width="15.7109375" style="45" customWidth="1"/>
    <col min="13336" max="13336" width="37.5703125" style="45" customWidth="1"/>
    <col min="13337" max="13558" width="11.42578125" style="45"/>
    <col min="13559" max="13559" width="10.5703125" style="45" customWidth="1"/>
    <col min="13560" max="13560" width="4.85546875" style="45" customWidth="1"/>
    <col min="13561" max="13561" width="32.42578125" style="45" customWidth="1"/>
    <col min="13562" max="13562" width="9.85546875" style="45" customWidth="1"/>
    <col min="13563" max="13563" width="10.140625" style="45" customWidth="1"/>
    <col min="13564" max="13564" width="12.28515625" style="45" customWidth="1"/>
    <col min="13565" max="13565" width="15.42578125" style="45" customWidth="1"/>
    <col min="13566" max="13566" width="11.85546875" style="45" customWidth="1"/>
    <col min="13567" max="13567" width="13.28515625" style="45" customWidth="1"/>
    <col min="13568" max="13568" width="15.28515625" style="45" customWidth="1"/>
    <col min="13569" max="13569" width="11.85546875" style="45" customWidth="1"/>
    <col min="13570" max="13570" width="6.140625" style="45" customWidth="1"/>
    <col min="13571" max="13571" width="11.85546875" style="45" customWidth="1"/>
    <col min="13572" max="13572" width="9.42578125" style="45" customWidth="1"/>
    <col min="13573" max="13573" width="14.7109375" style="45" customWidth="1"/>
    <col min="13574" max="13574" width="11.5703125" style="45" customWidth="1"/>
    <col min="13575" max="13575" width="0.42578125" style="45" customWidth="1"/>
    <col min="13576" max="13576" width="10.5703125" style="45" bestFit="1" customWidth="1"/>
    <col min="13577" max="13577" width="12.28515625" style="45" customWidth="1"/>
    <col min="13578" max="13578" width="12.5703125" style="45" customWidth="1"/>
    <col min="13579" max="13579" width="10.5703125" style="45" customWidth="1"/>
    <col min="13580" max="13580" width="10.140625" style="45" customWidth="1"/>
    <col min="13581" max="13581" width="8.42578125" style="45" customWidth="1"/>
    <col min="13582" max="13582" width="18.85546875" style="45" customWidth="1"/>
    <col min="13583" max="13583" width="10.28515625" style="45" customWidth="1"/>
    <col min="13584" max="13584" width="11.42578125" style="45"/>
    <col min="13585" max="13585" width="12.140625" style="45" customWidth="1"/>
    <col min="13586" max="13586" width="10.5703125" style="45" customWidth="1"/>
    <col min="13587" max="13587" width="12.42578125" style="45" customWidth="1"/>
    <col min="13588" max="13588" width="15.140625" style="45" customWidth="1"/>
    <col min="13589" max="13589" width="13.5703125" style="45" customWidth="1"/>
    <col min="13590" max="13590" width="13.140625" style="45" customWidth="1"/>
    <col min="13591" max="13591" width="15.7109375" style="45" customWidth="1"/>
    <col min="13592" max="13592" width="37.5703125" style="45" customWidth="1"/>
    <col min="13593" max="13814" width="11.42578125" style="45"/>
    <col min="13815" max="13815" width="10.5703125" style="45" customWidth="1"/>
    <col min="13816" max="13816" width="4.85546875" style="45" customWidth="1"/>
    <col min="13817" max="13817" width="32.42578125" style="45" customWidth="1"/>
    <col min="13818" max="13818" width="9.85546875" style="45" customWidth="1"/>
    <col min="13819" max="13819" width="10.140625" style="45" customWidth="1"/>
    <col min="13820" max="13820" width="12.28515625" style="45" customWidth="1"/>
    <col min="13821" max="13821" width="15.42578125" style="45" customWidth="1"/>
    <col min="13822" max="13822" width="11.85546875" style="45" customWidth="1"/>
    <col min="13823" max="13823" width="13.28515625" style="45" customWidth="1"/>
    <col min="13824" max="13824" width="15.28515625" style="45" customWidth="1"/>
    <col min="13825" max="13825" width="11.85546875" style="45" customWidth="1"/>
    <col min="13826" max="13826" width="6.140625" style="45" customWidth="1"/>
    <col min="13827" max="13827" width="11.85546875" style="45" customWidth="1"/>
    <col min="13828" max="13828" width="9.42578125" style="45" customWidth="1"/>
    <col min="13829" max="13829" width="14.7109375" style="45" customWidth="1"/>
    <col min="13830" max="13830" width="11.5703125" style="45" customWidth="1"/>
    <col min="13831" max="13831" width="0.42578125" style="45" customWidth="1"/>
    <col min="13832" max="13832" width="10.5703125" style="45" bestFit="1" customWidth="1"/>
    <col min="13833" max="13833" width="12.28515625" style="45" customWidth="1"/>
    <col min="13834" max="13834" width="12.5703125" style="45" customWidth="1"/>
    <col min="13835" max="13835" width="10.5703125" style="45" customWidth="1"/>
    <col min="13836" max="13836" width="10.140625" style="45" customWidth="1"/>
    <col min="13837" max="13837" width="8.42578125" style="45" customWidth="1"/>
    <col min="13838" max="13838" width="18.85546875" style="45" customWidth="1"/>
    <col min="13839" max="13839" width="10.28515625" style="45" customWidth="1"/>
    <col min="13840" max="13840" width="11.42578125" style="45"/>
    <col min="13841" max="13841" width="12.140625" style="45" customWidth="1"/>
    <col min="13842" max="13842" width="10.5703125" style="45" customWidth="1"/>
    <col min="13843" max="13843" width="12.42578125" style="45" customWidth="1"/>
    <col min="13844" max="13844" width="15.140625" style="45" customWidth="1"/>
    <col min="13845" max="13845" width="13.5703125" style="45" customWidth="1"/>
    <col min="13846" max="13846" width="13.140625" style="45" customWidth="1"/>
    <col min="13847" max="13847" width="15.7109375" style="45" customWidth="1"/>
    <col min="13848" max="13848" width="37.5703125" style="45" customWidth="1"/>
    <col min="13849" max="14070" width="11.42578125" style="45"/>
    <col min="14071" max="14071" width="10.5703125" style="45" customWidth="1"/>
    <col min="14072" max="14072" width="4.85546875" style="45" customWidth="1"/>
    <col min="14073" max="14073" width="32.42578125" style="45" customWidth="1"/>
    <col min="14074" max="14074" width="9.85546875" style="45" customWidth="1"/>
    <col min="14075" max="14075" width="10.140625" style="45" customWidth="1"/>
    <col min="14076" max="14076" width="12.28515625" style="45" customWidth="1"/>
    <col min="14077" max="14077" width="15.42578125" style="45" customWidth="1"/>
    <col min="14078" max="14078" width="11.85546875" style="45" customWidth="1"/>
    <col min="14079" max="14079" width="13.28515625" style="45" customWidth="1"/>
    <col min="14080" max="14080" width="15.28515625" style="45" customWidth="1"/>
    <col min="14081" max="14081" width="11.85546875" style="45" customWidth="1"/>
    <col min="14082" max="14082" width="6.140625" style="45" customWidth="1"/>
    <col min="14083" max="14083" width="11.85546875" style="45" customWidth="1"/>
    <col min="14084" max="14084" width="9.42578125" style="45" customWidth="1"/>
    <col min="14085" max="14085" width="14.7109375" style="45" customWidth="1"/>
    <col min="14086" max="14086" width="11.5703125" style="45" customWidth="1"/>
    <col min="14087" max="14087" width="0.42578125" style="45" customWidth="1"/>
    <col min="14088" max="14088" width="10.5703125" style="45" bestFit="1" customWidth="1"/>
    <col min="14089" max="14089" width="12.28515625" style="45" customWidth="1"/>
    <col min="14090" max="14090" width="12.5703125" style="45" customWidth="1"/>
    <col min="14091" max="14091" width="10.5703125" style="45" customWidth="1"/>
    <col min="14092" max="14092" width="10.140625" style="45" customWidth="1"/>
    <col min="14093" max="14093" width="8.42578125" style="45" customWidth="1"/>
    <col min="14094" max="14094" width="18.85546875" style="45" customWidth="1"/>
    <col min="14095" max="14095" width="10.28515625" style="45" customWidth="1"/>
    <col min="14096" max="14096" width="11.42578125" style="45"/>
    <col min="14097" max="14097" width="12.140625" style="45" customWidth="1"/>
    <col min="14098" max="14098" width="10.5703125" style="45" customWidth="1"/>
    <col min="14099" max="14099" width="12.42578125" style="45" customWidth="1"/>
    <col min="14100" max="14100" width="15.140625" style="45" customWidth="1"/>
    <col min="14101" max="14101" width="13.5703125" style="45" customWidth="1"/>
    <col min="14102" max="14102" width="13.140625" style="45" customWidth="1"/>
    <col min="14103" max="14103" width="15.7109375" style="45" customWidth="1"/>
    <col min="14104" max="14104" width="37.5703125" style="45" customWidth="1"/>
    <col min="14105" max="14326" width="11.42578125" style="45"/>
    <col min="14327" max="14327" width="10.5703125" style="45" customWidth="1"/>
    <col min="14328" max="14328" width="4.85546875" style="45" customWidth="1"/>
    <col min="14329" max="14329" width="32.42578125" style="45" customWidth="1"/>
    <col min="14330" max="14330" width="9.85546875" style="45" customWidth="1"/>
    <col min="14331" max="14331" width="10.140625" style="45" customWidth="1"/>
    <col min="14332" max="14332" width="12.28515625" style="45" customWidth="1"/>
    <col min="14333" max="14333" width="15.42578125" style="45" customWidth="1"/>
    <col min="14334" max="14334" width="11.85546875" style="45" customWidth="1"/>
    <col min="14335" max="14335" width="13.28515625" style="45" customWidth="1"/>
    <col min="14336" max="14336" width="15.28515625" style="45" customWidth="1"/>
    <col min="14337" max="14337" width="11.85546875" style="45" customWidth="1"/>
    <col min="14338" max="14338" width="6.140625" style="45" customWidth="1"/>
    <col min="14339" max="14339" width="11.85546875" style="45" customWidth="1"/>
    <col min="14340" max="14340" width="9.42578125" style="45" customWidth="1"/>
    <col min="14341" max="14341" width="14.7109375" style="45" customWidth="1"/>
    <col min="14342" max="14342" width="11.5703125" style="45" customWidth="1"/>
    <col min="14343" max="14343" width="0.42578125" style="45" customWidth="1"/>
    <col min="14344" max="14344" width="10.5703125" style="45" bestFit="1" customWidth="1"/>
    <col min="14345" max="14345" width="12.28515625" style="45" customWidth="1"/>
    <col min="14346" max="14346" width="12.5703125" style="45" customWidth="1"/>
    <col min="14347" max="14347" width="10.5703125" style="45" customWidth="1"/>
    <col min="14348" max="14348" width="10.140625" style="45" customWidth="1"/>
    <col min="14349" max="14349" width="8.42578125" style="45" customWidth="1"/>
    <col min="14350" max="14350" width="18.85546875" style="45" customWidth="1"/>
    <col min="14351" max="14351" width="10.28515625" style="45" customWidth="1"/>
    <col min="14352" max="14352" width="11.42578125" style="45"/>
    <col min="14353" max="14353" width="12.140625" style="45" customWidth="1"/>
    <col min="14354" max="14354" width="10.5703125" style="45" customWidth="1"/>
    <col min="14355" max="14355" width="12.42578125" style="45" customWidth="1"/>
    <col min="14356" max="14356" width="15.140625" style="45" customWidth="1"/>
    <col min="14357" max="14357" width="13.5703125" style="45" customWidth="1"/>
    <col min="14358" max="14358" width="13.140625" style="45" customWidth="1"/>
    <col min="14359" max="14359" width="15.7109375" style="45" customWidth="1"/>
    <col min="14360" max="14360" width="37.5703125" style="45" customWidth="1"/>
    <col min="14361" max="14582" width="11.42578125" style="45"/>
    <col min="14583" max="14583" width="10.5703125" style="45" customWidth="1"/>
    <col min="14584" max="14584" width="4.85546875" style="45" customWidth="1"/>
    <col min="14585" max="14585" width="32.42578125" style="45" customWidth="1"/>
    <col min="14586" max="14586" width="9.85546875" style="45" customWidth="1"/>
    <col min="14587" max="14587" width="10.140625" style="45" customWidth="1"/>
    <col min="14588" max="14588" width="12.28515625" style="45" customWidth="1"/>
    <col min="14589" max="14589" width="15.42578125" style="45" customWidth="1"/>
    <col min="14590" max="14590" width="11.85546875" style="45" customWidth="1"/>
    <col min="14591" max="14591" width="13.28515625" style="45" customWidth="1"/>
    <col min="14592" max="14592" width="15.28515625" style="45" customWidth="1"/>
    <col min="14593" max="14593" width="11.85546875" style="45" customWidth="1"/>
    <col min="14594" max="14594" width="6.140625" style="45" customWidth="1"/>
    <col min="14595" max="14595" width="11.85546875" style="45" customWidth="1"/>
    <col min="14596" max="14596" width="9.42578125" style="45" customWidth="1"/>
    <col min="14597" max="14597" width="14.7109375" style="45" customWidth="1"/>
    <col min="14598" max="14598" width="11.5703125" style="45" customWidth="1"/>
    <col min="14599" max="14599" width="0.42578125" style="45" customWidth="1"/>
    <col min="14600" max="14600" width="10.5703125" style="45" bestFit="1" customWidth="1"/>
    <col min="14601" max="14601" width="12.28515625" style="45" customWidth="1"/>
    <col min="14602" max="14602" width="12.5703125" style="45" customWidth="1"/>
    <col min="14603" max="14603" width="10.5703125" style="45" customWidth="1"/>
    <col min="14604" max="14604" width="10.140625" style="45" customWidth="1"/>
    <col min="14605" max="14605" width="8.42578125" style="45" customWidth="1"/>
    <col min="14606" max="14606" width="18.85546875" style="45" customWidth="1"/>
    <col min="14607" max="14607" width="10.28515625" style="45" customWidth="1"/>
    <col min="14608" max="14608" width="11.42578125" style="45"/>
    <col min="14609" max="14609" width="12.140625" style="45" customWidth="1"/>
    <col min="14610" max="14610" width="10.5703125" style="45" customWidth="1"/>
    <col min="14611" max="14611" width="12.42578125" style="45" customWidth="1"/>
    <col min="14612" max="14612" width="15.140625" style="45" customWidth="1"/>
    <col min="14613" max="14613" width="13.5703125" style="45" customWidth="1"/>
    <col min="14614" max="14614" width="13.140625" style="45" customWidth="1"/>
    <col min="14615" max="14615" width="15.7109375" style="45" customWidth="1"/>
    <col min="14616" max="14616" width="37.5703125" style="45" customWidth="1"/>
    <col min="14617" max="14838" width="11.42578125" style="45"/>
    <col min="14839" max="14839" width="10.5703125" style="45" customWidth="1"/>
    <col min="14840" max="14840" width="4.85546875" style="45" customWidth="1"/>
    <col min="14841" max="14841" width="32.42578125" style="45" customWidth="1"/>
    <col min="14842" max="14842" width="9.85546875" style="45" customWidth="1"/>
    <col min="14843" max="14843" width="10.140625" style="45" customWidth="1"/>
    <col min="14844" max="14844" width="12.28515625" style="45" customWidth="1"/>
    <col min="14845" max="14845" width="15.42578125" style="45" customWidth="1"/>
    <col min="14846" max="14846" width="11.85546875" style="45" customWidth="1"/>
    <col min="14847" max="14847" width="13.28515625" style="45" customWidth="1"/>
    <col min="14848" max="14848" width="15.28515625" style="45" customWidth="1"/>
    <col min="14849" max="14849" width="11.85546875" style="45" customWidth="1"/>
    <col min="14850" max="14850" width="6.140625" style="45" customWidth="1"/>
    <col min="14851" max="14851" width="11.85546875" style="45" customWidth="1"/>
    <col min="14852" max="14852" width="9.42578125" style="45" customWidth="1"/>
    <col min="14853" max="14853" width="14.7109375" style="45" customWidth="1"/>
    <col min="14854" max="14854" width="11.5703125" style="45" customWidth="1"/>
    <col min="14855" max="14855" width="0.42578125" style="45" customWidth="1"/>
    <col min="14856" max="14856" width="10.5703125" style="45" bestFit="1" customWidth="1"/>
    <col min="14857" max="14857" width="12.28515625" style="45" customWidth="1"/>
    <col min="14858" max="14858" width="12.5703125" style="45" customWidth="1"/>
    <col min="14859" max="14859" width="10.5703125" style="45" customWidth="1"/>
    <col min="14860" max="14860" width="10.140625" style="45" customWidth="1"/>
    <col min="14861" max="14861" width="8.42578125" style="45" customWidth="1"/>
    <col min="14862" max="14862" width="18.85546875" style="45" customWidth="1"/>
    <col min="14863" max="14863" width="10.28515625" style="45" customWidth="1"/>
    <col min="14864" max="14864" width="11.42578125" style="45"/>
    <col min="14865" max="14865" width="12.140625" style="45" customWidth="1"/>
    <col min="14866" max="14866" width="10.5703125" style="45" customWidth="1"/>
    <col min="14867" max="14867" width="12.42578125" style="45" customWidth="1"/>
    <col min="14868" max="14868" width="15.140625" style="45" customWidth="1"/>
    <col min="14869" max="14869" width="13.5703125" style="45" customWidth="1"/>
    <col min="14870" max="14870" width="13.140625" style="45" customWidth="1"/>
    <col min="14871" max="14871" width="15.7109375" style="45" customWidth="1"/>
    <col min="14872" max="14872" width="37.5703125" style="45" customWidth="1"/>
    <col min="14873" max="15094" width="11.42578125" style="45"/>
    <col min="15095" max="15095" width="10.5703125" style="45" customWidth="1"/>
    <col min="15096" max="15096" width="4.85546875" style="45" customWidth="1"/>
    <col min="15097" max="15097" width="32.42578125" style="45" customWidth="1"/>
    <col min="15098" max="15098" width="9.85546875" style="45" customWidth="1"/>
    <col min="15099" max="15099" width="10.140625" style="45" customWidth="1"/>
    <col min="15100" max="15100" width="12.28515625" style="45" customWidth="1"/>
    <col min="15101" max="15101" width="15.42578125" style="45" customWidth="1"/>
    <col min="15102" max="15102" width="11.85546875" style="45" customWidth="1"/>
    <col min="15103" max="15103" width="13.28515625" style="45" customWidth="1"/>
    <col min="15104" max="15104" width="15.28515625" style="45" customWidth="1"/>
    <col min="15105" max="15105" width="11.85546875" style="45" customWidth="1"/>
    <col min="15106" max="15106" width="6.140625" style="45" customWidth="1"/>
    <col min="15107" max="15107" width="11.85546875" style="45" customWidth="1"/>
    <col min="15108" max="15108" width="9.42578125" style="45" customWidth="1"/>
    <col min="15109" max="15109" width="14.7109375" style="45" customWidth="1"/>
    <col min="15110" max="15110" width="11.5703125" style="45" customWidth="1"/>
    <col min="15111" max="15111" width="0.42578125" style="45" customWidth="1"/>
    <col min="15112" max="15112" width="10.5703125" style="45" bestFit="1" customWidth="1"/>
    <col min="15113" max="15113" width="12.28515625" style="45" customWidth="1"/>
    <col min="15114" max="15114" width="12.5703125" style="45" customWidth="1"/>
    <col min="15115" max="15115" width="10.5703125" style="45" customWidth="1"/>
    <col min="15116" max="15116" width="10.140625" style="45" customWidth="1"/>
    <col min="15117" max="15117" width="8.42578125" style="45" customWidth="1"/>
    <col min="15118" max="15118" width="18.85546875" style="45" customWidth="1"/>
    <col min="15119" max="15119" width="10.28515625" style="45" customWidth="1"/>
    <col min="15120" max="15120" width="11.42578125" style="45"/>
    <col min="15121" max="15121" width="12.140625" style="45" customWidth="1"/>
    <col min="15122" max="15122" width="10.5703125" style="45" customWidth="1"/>
    <col min="15123" max="15123" width="12.42578125" style="45" customWidth="1"/>
    <col min="15124" max="15124" width="15.140625" style="45" customWidth="1"/>
    <col min="15125" max="15125" width="13.5703125" style="45" customWidth="1"/>
    <col min="15126" max="15126" width="13.140625" style="45" customWidth="1"/>
    <col min="15127" max="15127" width="15.7109375" style="45" customWidth="1"/>
    <col min="15128" max="15128" width="37.5703125" style="45" customWidth="1"/>
    <col min="15129" max="15350" width="11.42578125" style="45"/>
    <col min="15351" max="15351" width="10.5703125" style="45" customWidth="1"/>
    <col min="15352" max="15352" width="4.85546875" style="45" customWidth="1"/>
    <col min="15353" max="15353" width="32.42578125" style="45" customWidth="1"/>
    <col min="15354" max="15354" width="9.85546875" style="45" customWidth="1"/>
    <col min="15355" max="15355" width="10.140625" style="45" customWidth="1"/>
    <col min="15356" max="15356" width="12.28515625" style="45" customWidth="1"/>
    <col min="15357" max="15357" width="15.42578125" style="45" customWidth="1"/>
    <col min="15358" max="15358" width="11.85546875" style="45" customWidth="1"/>
    <col min="15359" max="15359" width="13.28515625" style="45" customWidth="1"/>
    <col min="15360" max="15360" width="15.28515625" style="45" customWidth="1"/>
    <col min="15361" max="15361" width="11.85546875" style="45" customWidth="1"/>
    <col min="15362" max="15362" width="6.140625" style="45" customWidth="1"/>
    <col min="15363" max="15363" width="11.85546875" style="45" customWidth="1"/>
    <col min="15364" max="15364" width="9.42578125" style="45" customWidth="1"/>
    <col min="15365" max="15365" width="14.7109375" style="45" customWidth="1"/>
    <col min="15366" max="15366" width="11.5703125" style="45" customWidth="1"/>
    <col min="15367" max="15367" width="0.42578125" style="45" customWidth="1"/>
    <col min="15368" max="15368" width="10.5703125" style="45" bestFit="1" customWidth="1"/>
    <col min="15369" max="15369" width="12.28515625" style="45" customWidth="1"/>
    <col min="15370" max="15370" width="12.5703125" style="45" customWidth="1"/>
    <col min="15371" max="15371" width="10.5703125" style="45" customWidth="1"/>
    <col min="15372" max="15372" width="10.140625" style="45" customWidth="1"/>
    <col min="15373" max="15373" width="8.42578125" style="45" customWidth="1"/>
    <col min="15374" max="15374" width="18.85546875" style="45" customWidth="1"/>
    <col min="15375" max="15375" width="10.28515625" style="45" customWidth="1"/>
    <col min="15376" max="15376" width="11.42578125" style="45"/>
    <col min="15377" max="15377" width="12.140625" style="45" customWidth="1"/>
    <col min="15378" max="15378" width="10.5703125" style="45" customWidth="1"/>
    <col min="15379" max="15379" width="12.42578125" style="45" customWidth="1"/>
    <col min="15380" max="15380" width="15.140625" style="45" customWidth="1"/>
    <col min="15381" max="15381" width="13.5703125" style="45" customWidth="1"/>
    <col min="15382" max="15382" width="13.140625" style="45" customWidth="1"/>
    <col min="15383" max="15383" width="15.7109375" style="45" customWidth="1"/>
    <col min="15384" max="15384" width="37.5703125" style="45" customWidth="1"/>
    <col min="15385" max="15606" width="11.42578125" style="45"/>
    <col min="15607" max="15607" width="10.5703125" style="45" customWidth="1"/>
    <col min="15608" max="15608" width="4.85546875" style="45" customWidth="1"/>
    <col min="15609" max="15609" width="32.42578125" style="45" customWidth="1"/>
    <col min="15610" max="15610" width="9.85546875" style="45" customWidth="1"/>
    <col min="15611" max="15611" width="10.140625" style="45" customWidth="1"/>
    <col min="15612" max="15612" width="12.28515625" style="45" customWidth="1"/>
    <col min="15613" max="15613" width="15.42578125" style="45" customWidth="1"/>
    <col min="15614" max="15614" width="11.85546875" style="45" customWidth="1"/>
    <col min="15615" max="15615" width="13.28515625" style="45" customWidth="1"/>
    <col min="15616" max="15616" width="15.28515625" style="45" customWidth="1"/>
    <col min="15617" max="15617" width="11.85546875" style="45" customWidth="1"/>
    <col min="15618" max="15618" width="6.140625" style="45" customWidth="1"/>
    <col min="15619" max="15619" width="11.85546875" style="45" customWidth="1"/>
    <col min="15620" max="15620" width="9.42578125" style="45" customWidth="1"/>
    <col min="15621" max="15621" width="14.7109375" style="45" customWidth="1"/>
    <col min="15622" max="15622" width="11.5703125" style="45" customWidth="1"/>
    <col min="15623" max="15623" width="0.42578125" style="45" customWidth="1"/>
    <col min="15624" max="15624" width="10.5703125" style="45" bestFit="1" customWidth="1"/>
    <col min="15625" max="15625" width="12.28515625" style="45" customWidth="1"/>
    <col min="15626" max="15626" width="12.5703125" style="45" customWidth="1"/>
    <col min="15627" max="15627" width="10.5703125" style="45" customWidth="1"/>
    <col min="15628" max="15628" width="10.140625" style="45" customWidth="1"/>
    <col min="15629" max="15629" width="8.42578125" style="45" customWidth="1"/>
    <col min="15630" max="15630" width="18.85546875" style="45" customWidth="1"/>
    <col min="15631" max="15631" width="10.28515625" style="45" customWidth="1"/>
    <col min="15632" max="15632" width="11.42578125" style="45"/>
    <col min="15633" max="15633" width="12.140625" style="45" customWidth="1"/>
    <col min="15634" max="15634" width="10.5703125" style="45" customWidth="1"/>
    <col min="15635" max="15635" width="12.42578125" style="45" customWidth="1"/>
    <col min="15636" max="15636" width="15.140625" style="45" customWidth="1"/>
    <col min="15637" max="15637" width="13.5703125" style="45" customWidth="1"/>
    <col min="15638" max="15638" width="13.140625" style="45" customWidth="1"/>
    <col min="15639" max="15639" width="15.7109375" style="45" customWidth="1"/>
    <col min="15640" max="15640" width="37.5703125" style="45" customWidth="1"/>
    <col min="15641" max="15862" width="11.42578125" style="45"/>
    <col min="15863" max="15863" width="10.5703125" style="45" customWidth="1"/>
    <col min="15864" max="15864" width="4.85546875" style="45" customWidth="1"/>
    <col min="15865" max="15865" width="32.42578125" style="45" customWidth="1"/>
    <col min="15866" max="15866" width="9.85546875" style="45" customWidth="1"/>
    <col min="15867" max="15867" width="10.140625" style="45" customWidth="1"/>
    <col min="15868" max="15868" width="12.28515625" style="45" customWidth="1"/>
    <col min="15869" max="15869" width="15.42578125" style="45" customWidth="1"/>
    <col min="15870" max="15870" width="11.85546875" style="45" customWidth="1"/>
    <col min="15871" max="15871" width="13.28515625" style="45" customWidth="1"/>
    <col min="15872" max="15872" width="15.28515625" style="45" customWidth="1"/>
    <col min="15873" max="15873" width="11.85546875" style="45" customWidth="1"/>
    <col min="15874" max="15874" width="6.140625" style="45" customWidth="1"/>
    <col min="15875" max="15875" width="11.85546875" style="45" customWidth="1"/>
    <col min="15876" max="15876" width="9.42578125" style="45" customWidth="1"/>
    <col min="15877" max="15877" width="14.7109375" style="45" customWidth="1"/>
    <col min="15878" max="15878" width="11.5703125" style="45" customWidth="1"/>
    <col min="15879" max="15879" width="0.42578125" style="45" customWidth="1"/>
    <col min="15880" max="15880" width="10.5703125" style="45" bestFit="1" customWidth="1"/>
    <col min="15881" max="15881" width="12.28515625" style="45" customWidth="1"/>
    <col min="15882" max="15882" width="12.5703125" style="45" customWidth="1"/>
    <col min="15883" max="15883" width="10.5703125" style="45" customWidth="1"/>
    <col min="15884" max="15884" width="10.140625" style="45" customWidth="1"/>
    <col min="15885" max="15885" width="8.42578125" style="45" customWidth="1"/>
    <col min="15886" max="15886" width="18.85546875" style="45" customWidth="1"/>
    <col min="15887" max="15887" width="10.28515625" style="45" customWidth="1"/>
    <col min="15888" max="15888" width="11.42578125" style="45"/>
    <col min="15889" max="15889" width="12.140625" style="45" customWidth="1"/>
    <col min="15890" max="15890" width="10.5703125" style="45" customWidth="1"/>
    <col min="15891" max="15891" width="12.42578125" style="45" customWidth="1"/>
    <col min="15892" max="15892" width="15.140625" style="45" customWidth="1"/>
    <col min="15893" max="15893" width="13.5703125" style="45" customWidth="1"/>
    <col min="15894" max="15894" width="13.140625" style="45" customWidth="1"/>
    <col min="15895" max="15895" width="15.7109375" style="45" customWidth="1"/>
    <col min="15896" max="15896" width="37.5703125" style="45" customWidth="1"/>
    <col min="15897" max="16118" width="11.42578125" style="45"/>
    <col min="16119" max="16119" width="10.5703125" style="45" customWidth="1"/>
    <col min="16120" max="16120" width="4.85546875" style="45" customWidth="1"/>
    <col min="16121" max="16121" width="32.42578125" style="45" customWidth="1"/>
    <col min="16122" max="16122" width="9.85546875" style="45" customWidth="1"/>
    <col min="16123" max="16123" width="10.140625" style="45" customWidth="1"/>
    <col min="16124" max="16124" width="12.28515625" style="45" customWidth="1"/>
    <col min="16125" max="16125" width="15.42578125" style="45" customWidth="1"/>
    <col min="16126" max="16126" width="11.85546875" style="45" customWidth="1"/>
    <col min="16127" max="16127" width="13.28515625" style="45" customWidth="1"/>
    <col min="16128" max="16128" width="15.28515625" style="45" customWidth="1"/>
    <col min="16129" max="16129" width="11.85546875" style="45" customWidth="1"/>
    <col min="16130" max="16130" width="6.140625" style="45" customWidth="1"/>
    <col min="16131" max="16131" width="11.85546875" style="45" customWidth="1"/>
    <col min="16132" max="16132" width="9.42578125" style="45" customWidth="1"/>
    <col min="16133" max="16133" width="14.7109375" style="45" customWidth="1"/>
    <col min="16134" max="16134" width="11.5703125" style="45" customWidth="1"/>
    <col min="16135" max="16135" width="0.42578125" style="45" customWidth="1"/>
    <col min="16136" max="16136" width="10.5703125" style="45" bestFit="1" customWidth="1"/>
    <col min="16137" max="16137" width="12.28515625" style="45" customWidth="1"/>
    <col min="16138" max="16138" width="12.5703125" style="45" customWidth="1"/>
    <col min="16139" max="16139" width="10.5703125" style="45" customWidth="1"/>
    <col min="16140" max="16140" width="10.140625" style="45" customWidth="1"/>
    <col min="16141" max="16141" width="8.42578125" style="45" customWidth="1"/>
    <col min="16142" max="16142" width="18.85546875" style="45" customWidth="1"/>
    <col min="16143" max="16143" width="10.28515625" style="45" customWidth="1"/>
    <col min="16144" max="16144" width="11.42578125" style="45"/>
    <col min="16145" max="16145" width="12.140625" style="45" customWidth="1"/>
    <col min="16146" max="16146" width="10.5703125" style="45" customWidth="1"/>
    <col min="16147" max="16147" width="12.42578125" style="45" customWidth="1"/>
    <col min="16148" max="16148" width="15.140625" style="45" customWidth="1"/>
    <col min="16149" max="16149" width="13.5703125" style="45" customWidth="1"/>
    <col min="16150" max="16150" width="13.140625" style="45" customWidth="1"/>
    <col min="16151" max="16151" width="15.7109375" style="45" customWidth="1"/>
    <col min="16152" max="16152" width="37.5703125" style="45" customWidth="1"/>
    <col min="16153" max="16384" width="11.42578125" style="45"/>
  </cols>
  <sheetData>
    <row r="1" spans="1:24" x14ac:dyDescent="0.25">
      <c r="C1" s="93" t="s">
        <v>146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5"/>
      <c r="V1" s="4"/>
      <c r="W1" s="44"/>
      <c r="X1" s="4"/>
    </row>
    <row r="2" spans="1:24" x14ac:dyDescent="0.25">
      <c r="C2" s="3" t="s">
        <v>1</v>
      </c>
      <c r="D2" s="4"/>
      <c r="E2" s="96" t="s">
        <v>2</v>
      </c>
      <c r="F2" s="97"/>
      <c r="G2" s="97"/>
      <c r="H2" s="97"/>
      <c r="I2" s="97"/>
      <c r="J2" s="97"/>
      <c r="K2" s="98"/>
      <c r="L2" s="96" t="s">
        <v>3</v>
      </c>
      <c r="M2" s="97"/>
      <c r="N2" s="97"/>
      <c r="O2" s="97"/>
      <c r="P2" s="97"/>
      <c r="Q2" s="97"/>
      <c r="R2" s="97"/>
      <c r="S2" s="97"/>
      <c r="T2" s="98"/>
      <c r="U2" s="4"/>
      <c r="V2" s="4"/>
      <c r="W2" s="44"/>
      <c r="X2" s="4"/>
    </row>
    <row r="3" spans="1:24" ht="48" x14ac:dyDescent="0.25">
      <c r="A3" s="89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13</v>
      </c>
      <c r="K3" s="12" t="s">
        <v>14</v>
      </c>
      <c r="L3" s="12" t="s">
        <v>15</v>
      </c>
      <c r="M3" s="12" t="s">
        <v>16</v>
      </c>
      <c r="N3" s="12" t="s">
        <v>17</v>
      </c>
      <c r="O3" s="12" t="s">
        <v>147</v>
      </c>
      <c r="P3" s="12" t="s">
        <v>19</v>
      </c>
      <c r="Q3" s="12" t="s">
        <v>20</v>
      </c>
      <c r="R3" s="12" t="s">
        <v>21</v>
      </c>
      <c r="S3" s="12" t="s">
        <v>22</v>
      </c>
      <c r="T3" s="12" t="s">
        <v>23</v>
      </c>
      <c r="U3" s="6" t="s">
        <v>24</v>
      </c>
      <c r="V3" s="6"/>
      <c r="W3" s="46"/>
      <c r="X3" s="6" t="s">
        <v>148</v>
      </c>
    </row>
    <row r="4" spans="1:24" x14ac:dyDescent="0.25">
      <c r="A4" s="90"/>
      <c r="B4" s="4">
        <v>1</v>
      </c>
      <c r="C4" s="11" t="s">
        <v>26</v>
      </c>
      <c r="D4" s="6" t="s">
        <v>27</v>
      </c>
      <c r="E4" s="5">
        <v>4815000</v>
      </c>
      <c r="F4" s="5">
        <v>30</v>
      </c>
      <c r="G4" s="5">
        <v>4815000</v>
      </c>
      <c r="H4" s="5"/>
      <c r="I4" s="5"/>
      <c r="J4" s="5"/>
      <c r="K4" s="5">
        <f t="shared" ref="K4:K35" si="0">SUM(G4:I4)+J4</f>
        <v>4815000</v>
      </c>
      <c r="L4" s="5">
        <f t="shared" ref="L4:L36" si="1">+G4*4%</f>
        <v>192600</v>
      </c>
      <c r="M4" s="5">
        <f>+G4*5%</f>
        <v>240750</v>
      </c>
      <c r="N4" s="5"/>
      <c r="O4" s="5"/>
      <c r="P4" s="5">
        <v>19000</v>
      </c>
      <c r="Q4" s="5"/>
      <c r="R4" s="5"/>
      <c r="S4" s="5"/>
      <c r="T4" s="5">
        <f t="shared" ref="T4:T54" si="2">SUM(L4:S4)</f>
        <v>452350</v>
      </c>
      <c r="U4" s="7">
        <f t="shared" ref="U4:U9" si="3">+K4-T4</f>
        <v>4362650</v>
      </c>
      <c r="V4" s="7"/>
      <c r="W4" s="44"/>
      <c r="X4" s="7">
        <f t="shared" ref="X4:X67" si="4">U4+V4-W4</f>
        <v>4362650</v>
      </c>
    </row>
    <row r="5" spans="1:24" ht="24" x14ac:dyDescent="0.25">
      <c r="A5" s="90"/>
      <c r="B5" s="4">
        <v>2</v>
      </c>
      <c r="C5" s="11" t="s">
        <v>28</v>
      </c>
      <c r="D5" s="6" t="s">
        <v>27</v>
      </c>
      <c r="E5" s="5">
        <v>4000000</v>
      </c>
      <c r="F5" s="5">
        <v>30</v>
      </c>
      <c r="G5" s="5">
        <f t="shared" ref="G5:G9" si="5">+E5/30*F5</f>
        <v>4000000.0000000005</v>
      </c>
      <c r="H5" s="5"/>
      <c r="I5" s="5">
        <v>800000</v>
      </c>
      <c r="J5" s="5"/>
      <c r="K5" s="5">
        <f t="shared" si="0"/>
        <v>4800000</v>
      </c>
      <c r="L5" s="5">
        <f>+E5*4%</f>
        <v>160000</v>
      </c>
      <c r="M5" s="5">
        <f>+E5*5%</f>
        <v>200000</v>
      </c>
      <c r="N5" s="5"/>
      <c r="O5" s="5"/>
      <c r="P5" s="5">
        <v>31064</v>
      </c>
      <c r="Q5" s="5"/>
      <c r="R5" s="5"/>
      <c r="S5" s="5"/>
      <c r="T5" s="5">
        <f t="shared" si="2"/>
        <v>391064</v>
      </c>
      <c r="U5" s="7">
        <f t="shared" si="3"/>
        <v>4408936</v>
      </c>
      <c r="V5" s="7"/>
      <c r="W5" s="44"/>
      <c r="X5" s="7">
        <f t="shared" si="4"/>
        <v>4408936</v>
      </c>
    </row>
    <row r="6" spans="1:24" x14ac:dyDescent="0.25">
      <c r="A6" s="90"/>
      <c r="B6" s="4">
        <v>3</v>
      </c>
      <c r="C6" s="11" t="s">
        <v>29</v>
      </c>
      <c r="D6" s="6" t="s">
        <v>27</v>
      </c>
      <c r="E6" s="5">
        <v>5500000</v>
      </c>
      <c r="F6" s="5">
        <v>30</v>
      </c>
      <c r="G6" s="5">
        <f t="shared" si="5"/>
        <v>5500000</v>
      </c>
      <c r="H6" s="5"/>
      <c r="I6" s="5"/>
      <c r="J6" s="5"/>
      <c r="K6" s="5">
        <f t="shared" si="0"/>
        <v>5500000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4903000</v>
      </c>
      <c r="V6" s="7"/>
      <c r="W6" s="44"/>
      <c r="X6" s="7">
        <f t="shared" si="4"/>
        <v>4903000</v>
      </c>
    </row>
    <row r="7" spans="1:24" x14ac:dyDescent="0.25">
      <c r="A7" s="90"/>
      <c r="B7" s="4">
        <v>4</v>
      </c>
      <c r="C7" s="11" t="s">
        <v>30</v>
      </c>
      <c r="D7" s="6" t="s">
        <v>27</v>
      </c>
      <c r="E7" s="5">
        <v>5492319</v>
      </c>
      <c r="F7" s="5">
        <v>30</v>
      </c>
      <c r="G7" s="5">
        <f t="shared" si="5"/>
        <v>5492319</v>
      </c>
      <c r="H7" s="5"/>
      <c r="I7" s="5"/>
      <c r="J7" s="5"/>
      <c r="K7" s="5">
        <f t="shared" ref="K7" si="6">SUM(G7:I7)+J7</f>
        <v>5492319</v>
      </c>
      <c r="L7" s="5">
        <f>+K7*4%</f>
        <v>219692.76</v>
      </c>
      <c r="M7" s="5">
        <f>+K7*5%</f>
        <v>274615.95</v>
      </c>
      <c r="N7" s="5"/>
      <c r="O7" s="5"/>
      <c r="P7" s="17">
        <v>98000</v>
      </c>
      <c r="Q7" s="5"/>
      <c r="R7" s="5"/>
      <c r="S7" s="5">
        <v>726520</v>
      </c>
      <c r="T7" s="5">
        <f t="shared" ref="T7" si="7">SUM(L7:S7)</f>
        <v>1318828.71</v>
      </c>
      <c r="U7" s="7">
        <f t="shared" si="3"/>
        <v>4173490.29</v>
      </c>
      <c r="V7" s="7"/>
      <c r="W7" s="44"/>
      <c r="X7" s="7">
        <f t="shared" si="4"/>
        <v>4173490.29</v>
      </c>
    </row>
    <row r="8" spans="1:24" x14ac:dyDescent="0.25">
      <c r="A8" s="90"/>
      <c r="B8" s="4">
        <v>5</v>
      </c>
      <c r="C8" s="11" t="s">
        <v>142</v>
      </c>
      <c r="D8" s="6" t="s">
        <v>27</v>
      </c>
      <c r="E8" s="5">
        <v>5000000</v>
      </c>
      <c r="F8" s="5">
        <v>30</v>
      </c>
      <c r="G8" s="5">
        <f t="shared" si="5"/>
        <v>5000000</v>
      </c>
      <c r="H8" s="5"/>
      <c r="I8" s="5"/>
      <c r="J8" s="5"/>
      <c r="K8" s="5">
        <f t="shared" si="0"/>
        <v>5000000</v>
      </c>
      <c r="L8" s="5">
        <f>+K8*4%</f>
        <v>200000</v>
      </c>
      <c r="M8" s="5">
        <f>+K8*5%</f>
        <v>250000</v>
      </c>
      <c r="N8" s="5"/>
      <c r="O8" s="5"/>
      <c r="P8" s="17">
        <v>102000</v>
      </c>
      <c r="Q8" s="5"/>
      <c r="R8" s="5"/>
      <c r="S8" s="5"/>
      <c r="T8" s="5">
        <f t="shared" si="2"/>
        <v>552000</v>
      </c>
      <c r="U8" s="7">
        <f t="shared" si="3"/>
        <v>4448000</v>
      </c>
      <c r="V8" s="7"/>
      <c r="W8" s="44"/>
      <c r="X8" s="7">
        <f t="shared" si="4"/>
        <v>4448000</v>
      </c>
    </row>
    <row r="9" spans="1:24" x14ac:dyDescent="0.25">
      <c r="A9" s="90"/>
      <c r="B9" s="4">
        <v>6</v>
      </c>
      <c r="C9" s="11" t="s">
        <v>31</v>
      </c>
      <c r="D9" s="6" t="s">
        <v>27</v>
      </c>
      <c r="E9" s="5">
        <v>5000000</v>
      </c>
      <c r="F9" s="5">
        <v>30</v>
      </c>
      <c r="G9" s="5">
        <f t="shared" si="5"/>
        <v>5000000</v>
      </c>
      <c r="H9" s="5"/>
      <c r="I9" s="5">
        <v>2012670</v>
      </c>
      <c r="J9" s="5"/>
      <c r="K9" s="5">
        <f t="shared" si="0"/>
        <v>7012670</v>
      </c>
      <c r="L9" s="5">
        <f t="shared" si="1"/>
        <v>200000</v>
      </c>
      <c r="M9" s="5">
        <f t="shared" ref="M9:M34" si="8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2"/>
        <v>1200000</v>
      </c>
      <c r="U9" s="7">
        <f t="shared" si="3"/>
        <v>5812670</v>
      </c>
      <c r="V9" s="7"/>
      <c r="W9" s="44"/>
      <c r="X9" s="7">
        <f t="shared" si="4"/>
        <v>5812670</v>
      </c>
    </row>
    <row r="10" spans="1:24" x14ac:dyDescent="0.25">
      <c r="A10" s="90"/>
      <c r="B10" s="4">
        <v>7</v>
      </c>
      <c r="C10" s="11" t="s">
        <v>32</v>
      </c>
      <c r="D10" s="6" t="s">
        <v>27</v>
      </c>
      <c r="E10" s="5">
        <v>4500000</v>
      </c>
      <c r="F10" s="5">
        <v>30</v>
      </c>
      <c r="G10" s="5">
        <f>E10/30*F10</f>
        <v>4500000</v>
      </c>
      <c r="H10" s="5"/>
      <c r="I10" s="5"/>
      <c r="J10" s="5"/>
      <c r="K10" s="5">
        <f t="shared" si="0"/>
        <v>4500000</v>
      </c>
      <c r="L10" s="5">
        <f>+E10*4%</f>
        <v>180000</v>
      </c>
      <c r="M10" s="5">
        <f>+E10*5%</f>
        <v>225000</v>
      </c>
      <c r="N10" s="5"/>
      <c r="O10" s="5">
        <v>100000</v>
      </c>
      <c r="P10" s="5">
        <v>2545</v>
      </c>
      <c r="Q10" s="5"/>
      <c r="R10" s="5"/>
      <c r="S10" s="5">
        <v>945750</v>
      </c>
      <c r="T10" s="5">
        <f t="shared" si="2"/>
        <v>1453295</v>
      </c>
      <c r="U10" s="7">
        <f>K10-T10</f>
        <v>3046705</v>
      </c>
      <c r="V10" s="7"/>
      <c r="W10" s="44"/>
      <c r="X10" s="7">
        <f t="shared" si="4"/>
        <v>3046705</v>
      </c>
    </row>
    <row r="11" spans="1:24" x14ac:dyDescent="0.25">
      <c r="A11" s="90"/>
      <c r="B11" s="4">
        <v>8</v>
      </c>
      <c r="C11" s="11" t="s">
        <v>33</v>
      </c>
      <c r="D11" s="6" t="s">
        <v>27</v>
      </c>
      <c r="E11" s="5">
        <v>4500000</v>
      </c>
      <c r="F11" s="5">
        <v>30</v>
      </c>
      <c r="G11" s="5">
        <f>E11/30*F11</f>
        <v>4500000</v>
      </c>
      <c r="H11" s="5"/>
      <c r="I11" s="5"/>
      <c r="J11" s="5"/>
      <c r="K11" s="5">
        <f t="shared" ref="K11:K12" si="9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:T12" si="10">SUM(L11:S11)</f>
        <v>415000</v>
      </c>
      <c r="U11" s="7">
        <f>K11-T11</f>
        <v>4085000</v>
      </c>
      <c r="V11" s="7"/>
      <c r="W11" s="44"/>
      <c r="X11" s="7">
        <f t="shared" si="4"/>
        <v>4085000</v>
      </c>
    </row>
    <row r="12" spans="1:24" ht="24" x14ac:dyDescent="0.25">
      <c r="A12" s="90"/>
      <c r="B12" s="4">
        <v>9</v>
      </c>
      <c r="C12" s="11" t="s">
        <v>34</v>
      </c>
      <c r="D12" s="6" t="s">
        <v>35</v>
      </c>
      <c r="E12" s="5">
        <v>4500000</v>
      </c>
      <c r="F12" s="5">
        <v>30</v>
      </c>
      <c r="G12" s="5">
        <f>E12/30*F12</f>
        <v>4500000</v>
      </c>
      <c r="H12" s="5"/>
      <c r="I12" s="5"/>
      <c r="J12" s="5"/>
      <c r="K12" s="5">
        <f t="shared" si="9"/>
        <v>4500000</v>
      </c>
      <c r="L12" s="5">
        <f>+G12*4%</f>
        <v>180000</v>
      </c>
      <c r="M12" s="5">
        <f>+G12*5%</f>
        <v>225000</v>
      </c>
      <c r="N12" s="5"/>
      <c r="O12" s="5"/>
      <c r="P12" s="17">
        <v>72000</v>
      </c>
      <c r="Q12" s="5"/>
      <c r="R12" s="5"/>
      <c r="S12" s="5"/>
      <c r="T12" s="5">
        <f t="shared" si="10"/>
        <v>477000</v>
      </c>
      <c r="U12" s="7">
        <f>K12-T12</f>
        <v>4023000</v>
      </c>
      <c r="V12" s="7"/>
      <c r="W12" s="44"/>
      <c r="X12" s="7">
        <f t="shared" si="4"/>
        <v>4023000</v>
      </c>
    </row>
    <row r="13" spans="1:24" x14ac:dyDescent="0.25">
      <c r="A13" s="90"/>
      <c r="B13" s="4">
        <v>10</v>
      </c>
      <c r="C13" s="11" t="s">
        <v>36</v>
      </c>
      <c r="D13" s="6" t="s">
        <v>27</v>
      </c>
      <c r="E13" s="5">
        <v>5400000</v>
      </c>
      <c r="F13" s="5">
        <v>30</v>
      </c>
      <c r="G13" s="5">
        <f>+E13/30*F13</f>
        <v>5400000</v>
      </c>
      <c r="H13" s="5"/>
      <c r="I13" s="5"/>
      <c r="J13" s="5"/>
      <c r="K13" s="5">
        <f t="shared" si="0"/>
        <v>5400000</v>
      </c>
      <c r="L13" s="5">
        <f>+G13*4%</f>
        <v>216000</v>
      </c>
      <c r="M13" s="5">
        <f>+G13*5%</f>
        <v>270000</v>
      </c>
      <c r="N13" s="5"/>
      <c r="O13" s="5"/>
      <c r="P13" s="5">
        <v>6248</v>
      </c>
      <c r="Q13" s="5"/>
      <c r="R13" s="5"/>
      <c r="S13" s="5"/>
      <c r="T13" s="5">
        <f t="shared" si="2"/>
        <v>492248</v>
      </c>
      <c r="U13" s="7">
        <f t="shared" ref="U13:U20" si="11">+K13-T13</f>
        <v>4907752</v>
      </c>
      <c r="V13" s="7"/>
      <c r="W13" s="44"/>
      <c r="X13" s="7">
        <f t="shared" si="4"/>
        <v>4907752</v>
      </c>
    </row>
    <row r="14" spans="1:24" x14ac:dyDescent="0.25">
      <c r="A14" s="90"/>
      <c r="B14" s="4">
        <v>11</v>
      </c>
      <c r="C14" s="3" t="s">
        <v>37</v>
      </c>
      <c r="D14" s="4" t="s">
        <v>27</v>
      </c>
      <c r="E14" s="5">
        <v>4500000</v>
      </c>
      <c r="F14" s="5">
        <v>30</v>
      </c>
      <c r="G14" s="5">
        <f t="shared" ref="G14:G20" si="12">+E14/30*F14</f>
        <v>4500000</v>
      </c>
      <c r="H14" s="5"/>
      <c r="I14" s="5"/>
      <c r="J14" s="5"/>
      <c r="K14" s="5">
        <f t="shared" si="0"/>
        <v>4500000</v>
      </c>
      <c r="L14" s="5">
        <v>180000</v>
      </c>
      <c r="M14" s="5">
        <v>225000</v>
      </c>
      <c r="N14" s="5"/>
      <c r="O14" s="5"/>
      <c r="P14" s="5">
        <v>3000</v>
      </c>
      <c r="Q14" s="5"/>
      <c r="R14" s="5"/>
      <c r="S14" s="5"/>
      <c r="T14" s="5">
        <f t="shared" si="2"/>
        <v>408000</v>
      </c>
      <c r="U14" s="7">
        <f t="shared" si="11"/>
        <v>4092000</v>
      </c>
      <c r="V14" s="7"/>
      <c r="W14" s="44"/>
      <c r="X14" s="7">
        <f t="shared" si="4"/>
        <v>4092000</v>
      </c>
    </row>
    <row r="15" spans="1:24" x14ac:dyDescent="0.25">
      <c r="A15" s="90"/>
      <c r="B15" s="4">
        <v>12</v>
      </c>
      <c r="C15" s="3" t="s">
        <v>38</v>
      </c>
      <c r="D15" s="4" t="s">
        <v>27</v>
      </c>
      <c r="E15" s="5">
        <v>4200000</v>
      </c>
      <c r="F15" s="5">
        <v>30</v>
      </c>
      <c r="G15" s="5">
        <f t="shared" si="12"/>
        <v>4200000</v>
      </c>
      <c r="H15" s="5"/>
      <c r="I15" s="5"/>
      <c r="J15" s="5"/>
      <c r="K15" s="5">
        <f t="shared" ref="K15:K17" si="13">SUM(G15:I15)+J15</f>
        <v>4200000</v>
      </c>
      <c r="L15" s="5">
        <v>168000</v>
      </c>
      <c r="M15" s="5">
        <v>210000</v>
      </c>
      <c r="N15" s="5"/>
      <c r="O15" s="5"/>
      <c r="P15" s="5">
        <v>32000</v>
      </c>
      <c r="Q15" s="5"/>
      <c r="R15" s="5"/>
      <c r="S15" s="5"/>
      <c r="T15" s="5">
        <f t="shared" ref="T15:T17" si="14">SUM(L15:S15)</f>
        <v>410000</v>
      </c>
      <c r="U15" s="7">
        <f t="shared" si="11"/>
        <v>3790000</v>
      </c>
      <c r="V15" s="7"/>
      <c r="W15" s="44"/>
      <c r="X15" s="7">
        <f t="shared" si="4"/>
        <v>3790000</v>
      </c>
    </row>
    <row r="16" spans="1:24" x14ac:dyDescent="0.25">
      <c r="A16" s="90"/>
      <c r="B16" s="4">
        <v>13</v>
      </c>
      <c r="C16" s="3" t="s">
        <v>39</v>
      </c>
      <c r="D16" s="4" t="s">
        <v>35</v>
      </c>
      <c r="E16" s="5">
        <v>4000000</v>
      </c>
      <c r="F16" s="5">
        <v>30</v>
      </c>
      <c r="G16" s="5">
        <f t="shared" si="12"/>
        <v>4000000.0000000005</v>
      </c>
      <c r="H16" s="5"/>
      <c r="I16" s="5"/>
      <c r="J16" s="5"/>
      <c r="K16" s="5">
        <f t="shared" si="13"/>
        <v>4000000.0000000005</v>
      </c>
      <c r="L16" s="5">
        <v>160000</v>
      </c>
      <c r="M16" s="5">
        <v>200000</v>
      </c>
      <c r="N16" s="5"/>
      <c r="O16" s="5"/>
      <c r="P16" s="5">
        <v>4500</v>
      </c>
      <c r="Q16" s="5"/>
      <c r="R16" s="5"/>
      <c r="S16" s="5"/>
      <c r="T16" s="5">
        <f t="shared" si="14"/>
        <v>364500</v>
      </c>
      <c r="U16" s="7">
        <f t="shared" si="11"/>
        <v>3635500.0000000005</v>
      </c>
      <c r="V16" s="7"/>
      <c r="W16" s="44"/>
      <c r="X16" s="7">
        <f t="shared" si="4"/>
        <v>3635500.0000000005</v>
      </c>
    </row>
    <row r="17" spans="1:24" x14ac:dyDescent="0.25">
      <c r="A17" s="90"/>
      <c r="B17" s="4">
        <v>14</v>
      </c>
      <c r="C17" s="3" t="s">
        <v>40</v>
      </c>
      <c r="D17" s="4" t="s">
        <v>35</v>
      </c>
      <c r="E17" s="5">
        <v>4500000</v>
      </c>
      <c r="F17" s="5">
        <v>30</v>
      </c>
      <c r="G17" s="5">
        <f t="shared" si="12"/>
        <v>4500000</v>
      </c>
      <c r="H17" s="5"/>
      <c r="I17" s="5"/>
      <c r="J17" s="5"/>
      <c r="K17" s="5">
        <f t="shared" si="13"/>
        <v>4500000</v>
      </c>
      <c r="L17" s="5">
        <f>+G17*4%</f>
        <v>180000</v>
      </c>
      <c r="M17" s="5">
        <f>+G17*5%</f>
        <v>225000</v>
      </c>
      <c r="N17" s="5"/>
      <c r="O17" s="5"/>
      <c r="P17" s="5">
        <v>72000</v>
      </c>
      <c r="Q17" s="5"/>
      <c r="R17" s="5"/>
      <c r="S17" s="5"/>
      <c r="T17" s="5">
        <f t="shared" si="14"/>
        <v>477000</v>
      </c>
      <c r="U17" s="7">
        <f t="shared" si="11"/>
        <v>4023000</v>
      </c>
      <c r="V17" s="7"/>
      <c r="W17" s="44"/>
      <c r="X17" s="7">
        <f t="shared" si="4"/>
        <v>4023000</v>
      </c>
    </row>
    <row r="18" spans="1:24" x14ac:dyDescent="0.25">
      <c r="A18" s="90"/>
      <c r="B18" s="4">
        <v>15</v>
      </c>
      <c r="C18" s="11" t="s">
        <v>41</v>
      </c>
      <c r="D18" s="6" t="s">
        <v>27</v>
      </c>
      <c r="E18" s="5">
        <v>5500000</v>
      </c>
      <c r="F18" s="5">
        <v>30</v>
      </c>
      <c r="G18" s="5">
        <f t="shared" si="12"/>
        <v>5500000</v>
      </c>
      <c r="H18" s="5"/>
      <c r="I18" s="5">
        <v>450000</v>
      </c>
      <c r="J18" s="5">
        <v>150521</v>
      </c>
      <c r="K18" s="5">
        <f t="shared" si="0"/>
        <v>6100521</v>
      </c>
      <c r="L18" s="5">
        <f>+G18*4%</f>
        <v>220000</v>
      </c>
      <c r="M18" s="5">
        <f>+G18*5%</f>
        <v>275000</v>
      </c>
      <c r="N18" s="5"/>
      <c r="O18" s="5"/>
      <c r="P18" s="17">
        <v>150521</v>
      </c>
      <c r="Q18" s="5">
        <v>400000</v>
      </c>
      <c r="R18" s="5"/>
      <c r="S18" s="5"/>
      <c r="T18" s="5">
        <f t="shared" si="2"/>
        <v>1045521</v>
      </c>
      <c r="U18" s="7">
        <f t="shared" si="11"/>
        <v>5055000</v>
      </c>
      <c r="V18" s="7"/>
      <c r="W18" s="44"/>
      <c r="X18" s="7">
        <f t="shared" si="4"/>
        <v>5055000</v>
      </c>
    </row>
    <row r="19" spans="1:24" x14ac:dyDescent="0.25">
      <c r="A19" s="90"/>
      <c r="B19" s="4">
        <v>16</v>
      </c>
      <c r="C19" s="11" t="s">
        <v>143</v>
      </c>
      <c r="D19" s="6" t="s">
        <v>27</v>
      </c>
      <c r="E19" s="5">
        <v>5000000</v>
      </c>
      <c r="F19" s="5">
        <v>30</v>
      </c>
      <c r="G19" s="5">
        <f t="shared" si="12"/>
        <v>5000000</v>
      </c>
      <c r="H19" s="5"/>
      <c r="I19" s="5"/>
      <c r="J19" s="5"/>
      <c r="K19" s="5">
        <f t="shared" ref="K19:K20" si="15">SUM(G19:I19)+J19</f>
        <v>5000000</v>
      </c>
      <c r="L19" s="5">
        <f>+G19*4%</f>
        <v>200000</v>
      </c>
      <c r="M19" s="5">
        <f>+G19*5%</f>
        <v>250000</v>
      </c>
      <c r="N19" s="5"/>
      <c r="O19" s="5"/>
      <c r="P19" s="17">
        <v>102000</v>
      </c>
      <c r="Q19" s="5"/>
      <c r="R19" s="5"/>
      <c r="S19" s="5"/>
      <c r="T19" s="5">
        <f t="shared" ref="T19:T20" si="16">SUM(L19:S19)</f>
        <v>552000</v>
      </c>
      <c r="U19" s="7">
        <f t="shared" si="11"/>
        <v>4448000</v>
      </c>
      <c r="V19" s="7"/>
      <c r="W19" s="44"/>
      <c r="X19" s="7">
        <f t="shared" si="4"/>
        <v>4448000</v>
      </c>
    </row>
    <row r="20" spans="1:24" x14ac:dyDescent="0.25">
      <c r="A20" s="90"/>
      <c r="B20" s="4">
        <v>17</v>
      </c>
      <c r="C20" s="11" t="s">
        <v>42</v>
      </c>
      <c r="D20" s="6" t="s">
        <v>27</v>
      </c>
      <c r="E20" s="5">
        <v>3500000</v>
      </c>
      <c r="F20" s="5">
        <v>30</v>
      </c>
      <c r="G20" s="5">
        <f t="shared" si="12"/>
        <v>3500000</v>
      </c>
      <c r="H20" s="5"/>
      <c r="I20" s="5"/>
      <c r="J20" s="5"/>
      <c r="K20" s="5">
        <f t="shared" si="15"/>
        <v>3500000</v>
      </c>
      <c r="L20" s="5">
        <f t="shared" ref="L20" si="17">+G20*4%</f>
        <v>140000</v>
      </c>
      <c r="M20" s="5">
        <f t="shared" ref="M20" si="18">+G20*5%</f>
        <v>175000</v>
      </c>
      <c r="N20" s="5"/>
      <c r="O20" s="5"/>
      <c r="P20" s="17"/>
      <c r="Q20" s="5"/>
      <c r="R20" s="5"/>
      <c r="S20" s="5"/>
      <c r="T20" s="5">
        <f t="shared" si="16"/>
        <v>315000</v>
      </c>
      <c r="U20" s="7">
        <f t="shared" si="11"/>
        <v>3185000</v>
      </c>
      <c r="V20" s="7"/>
      <c r="W20" s="44"/>
      <c r="X20" s="7">
        <f t="shared" si="4"/>
        <v>3185000</v>
      </c>
    </row>
    <row r="21" spans="1:24" ht="24" x14ac:dyDescent="0.25">
      <c r="A21" s="90"/>
      <c r="B21" s="4">
        <v>18</v>
      </c>
      <c r="C21" s="11" t="s">
        <v>43</v>
      </c>
      <c r="D21" s="6" t="s">
        <v>27</v>
      </c>
      <c r="E21" s="5">
        <v>5000000</v>
      </c>
      <c r="F21" s="5">
        <v>30</v>
      </c>
      <c r="G21" s="5">
        <f>+E21-J21</f>
        <v>5000000</v>
      </c>
      <c r="H21" s="5"/>
      <c r="I21" s="5">
        <v>990000</v>
      </c>
      <c r="J21" s="5"/>
      <c r="K21" s="5">
        <f t="shared" si="0"/>
        <v>5990000</v>
      </c>
      <c r="L21" s="5">
        <v>200000</v>
      </c>
      <c r="M21" s="5">
        <v>250000</v>
      </c>
      <c r="N21" s="5"/>
      <c r="O21" s="5"/>
      <c r="P21" s="17">
        <v>98752</v>
      </c>
      <c r="Q21" s="5"/>
      <c r="R21" s="5"/>
      <c r="S21" s="5"/>
      <c r="T21" s="5">
        <f t="shared" si="2"/>
        <v>548752</v>
      </c>
      <c r="U21" s="7">
        <f>K21-T21</f>
        <v>5441248</v>
      </c>
      <c r="V21" s="7"/>
      <c r="W21" s="44"/>
      <c r="X21" s="7">
        <f t="shared" si="4"/>
        <v>5441248</v>
      </c>
    </row>
    <row r="22" spans="1:24" x14ac:dyDescent="0.25">
      <c r="A22" s="90"/>
      <c r="B22" s="4">
        <v>19</v>
      </c>
      <c r="C22" s="11" t="s">
        <v>44</v>
      </c>
      <c r="D22" s="6" t="s">
        <v>27</v>
      </c>
      <c r="E22" s="5">
        <v>6600000</v>
      </c>
      <c r="F22" s="5">
        <v>30</v>
      </c>
      <c r="G22" s="5">
        <f t="shared" ref="G22:G30" si="19">E22/30*F22</f>
        <v>6600000</v>
      </c>
      <c r="H22" s="5"/>
      <c r="I22" s="5"/>
      <c r="J22" s="5"/>
      <c r="K22" s="5">
        <f t="shared" si="0"/>
        <v>6600000</v>
      </c>
      <c r="L22" s="5">
        <f>+G22*4%</f>
        <v>264000</v>
      </c>
      <c r="M22" s="5">
        <f>+G22*5%</f>
        <v>330000</v>
      </c>
      <c r="N22" s="5"/>
      <c r="O22" s="5"/>
      <c r="P22" s="17">
        <v>288000</v>
      </c>
      <c r="Q22" s="5"/>
      <c r="R22" s="5"/>
      <c r="S22" s="5"/>
      <c r="T22" s="5">
        <f t="shared" si="2"/>
        <v>882000</v>
      </c>
      <c r="U22" s="7">
        <f>K22-T22</f>
        <v>5718000</v>
      </c>
      <c r="V22" s="7"/>
      <c r="W22" s="44"/>
      <c r="X22" s="7">
        <f t="shared" si="4"/>
        <v>5718000</v>
      </c>
    </row>
    <row r="23" spans="1:24" x14ac:dyDescent="0.25">
      <c r="A23" s="90"/>
      <c r="B23" s="4">
        <v>20</v>
      </c>
      <c r="C23" s="11" t="s">
        <v>45</v>
      </c>
      <c r="D23" s="6" t="s">
        <v>27</v>
      </c>
      <c r="E23" s="5">
        <v>6900000</v>
      </c>
      <c r="F23" s="5">
        <v>30</v>
      </c>
      <c r="G23" s="5">
        <f t="shared" si="19"/>
        <v>6900000</v>
      </c>
      <c r="H23" s="5"/>
      <c r="I23" s="5">
        <v>1400000</v>
      </c>
      <c r="J23" s="5"/>
      <c r="K23" s="5">
        <f t="shared" ref="K23" si="20">SUM(G23:I23)+J23</f>
        <v>8300000</v>
      </c>
      <c r="L23" s="5">
        <f t="shared" ref="L23" si="21">+G23*4%</f>
        <v>276000</v>
      </c>
      <c r="M23" s="5">
        <f t="shared" ref="M23" si="22">+G23*5%</f>
        <v>345000</v>
      </c>
      <c r="N23" s="5"/>
      <c r="O23" s="5"/>
      <c r="P23" s="17">
        <v>113000</v>
      </c>
      <c r="Q23" s="5">
        <v>1300000</v>
      </c>
      <c r="R23" s="5"/>
      <c r="S23" s="5"/>
      <c r="T23" s="5">
        <f t="shared" ref="T23:T24" si="23">SUM(L23:S23)</f>
        <v>2034000</v>
      </c>
      <c r="U23" s="7">
        <f>K23-T23</f>
        <v>6266000</v>
      </c>
      <c r="V23" s="7"/>
      <c r="W23" s="44"/>
      <c r="X23" s="7">
        <f t="shared" si="4"/>
        <v>6266000</v>
      </c>
    </row>
    <row r="24" spans="1:24" x14ac:dyDescent="0.25">
      <c r="A24" s="90"/>
      <c r="B24" s="4">
        <v>21</v>
      </c>
      <c r="C24" s="11" t="s">
        <v>46</v>
      </c>
      <c r="D24" s="6" t="s">
        <v>27</v>
      </c>
      <c r="E24" s="5">
        <v>3500000</v>
      </c>
      <c r="F24" s="5">
        <v>30</v>
      </c>
      <c r="G24" s="5">
        <f t="shared" ref="G24" si="24">+E24/30*F24</f>
        <v>3500000</v>
      </c>
      <c r="H24" s="5"/>
      <c r="I24" s="5"/>
      <c r="J24" s="5"/>
      <c r="K24" s="5">
        <f t="shared" ref="K24" si="25">SUM(G24:I24)+J24</f>
        <v>3500000</v>
      </c>
      <c r="L24" s="5">
        <v>140000</v>
      </c>
      <c r="M24" s="5">
        <v>175000</v>
      </c>
      <c r="N24" s="5"/>
      <c r="O24" s="5"/>
      <c r="P24" s="5"/>
      <c r="Q24" s="5"/>
      <c r="R24" s="5"/>
      <c r="S24" s="5"/>
      <c r="T24" s="5">
        <f t="shared" si="23"/>
        <v>315000</v>
      </c>
      <c r="U24" s="7">
        <f t="shared" ref="U24" si="26">+K24-T24</f>
        <v>3185000</v>
      </c>
      <c r="V24" s="7"/>
      <c r="W24" s="44"/>
      <c r="X24" s="7">
        <f t="shared" si="4"/>
        <v>3185000</v>
      </c>
    </row>
    <row r="25" spans="1:24" x14ac:dyDescent="0.25">
      <c r="A25" s="90"/>
      <c r="B25" s="4">
        <v>22</v>
      </c>
      <c r="C25" s="11" t="s">
        <v>47</v>
      </c>
      <c r="D25" s="6" t="s">
        <v>27</v>
      </c>
      <c r="E25" s="5">
        <v>5000000</v>
      </c>
      <c r="F25" s="5">
        <v>30</v>
      </c>
      <c r="G25" s="5">
        <f t="shared" si="19"/>
        <v>5000000</v>
      </c>
      <c r="H25" s="5"/>
      <c r="I25" s="5">
        <v>1621317</v>
      </c>
      <c r="J25" s="5"/>
      <c r="K25" s="5">
        <f t="shared" si="0"/>
        <v>6621317</v>
      </c>
      <c r="L25" s="5">
        <f>+G25*4%</f>
        <v>200000</v>
      </c>
      <c r="M25" s="5">
        <f t="shared" si="8"/>
        <v>250000</v>
      </c>
      <c r="N25" s="5"/>
      <c r="O25" s="5"/>
      <c r="P25" s="17">
        <v>50000</v>
      </c>
      <c r="Q25" s="5">
        <v>1000000</v>
      </c>
      <c r="R25" s="5"/>
      <c r="S25" s="5">
        <f>884747</f>
        <v>884747</v>
      </c>
      <c r="T25" s="5">
        <f t="shared" si="2"/>
        <v>2384747</v>
      </c>
      <c r="U25" s="7">
        <f>+K25-T25</f>
        <v>4236570</v>
      </c>
      <c r="V25" s="7"/>
      <c r="W25" s="44"/>
      <c r="X25" s="7">
        <f t="shared" si="4"/>
        <v>4236570</v>
      </c>
    </row>
    <row r="26" spans="1:24" x14ac:dyDescent="0.25">
      <c r="A26" s="90"/>
      <c r="B26" s="4">
        <v>23</v>
      </c>
      <c r="C26" s="11" t="s">
        <v>48</v>
      </c>
      <c r="D26" s="6" t="s">
        <v>27</v>
      </c>
      <c r="E26" s="5">
        <v>4500000</v>
      </c>
      <c r="F26" s="5">
        <v>30</v>
      </c>
      <c r="G26" s="5">
        <f>+E26-J26</f>
        <v>3450000</v>
      </c>
      <c r="H26" s="5"/>
      <c r="I26" s="5"/>
      <c r="J26" s="5">
        <v>1050000</v>
      </c>
      <c r="K26" s="5">
        <f t="shared" si="0"/>
        <v>4500000</v>
      </c>
      <c r="L26" s="5">
        <v>180000</v>
      </c>
      <c r="M26" s="5">
        <v>225000</v>
      </c>
      <c r="N26" s="5"/>
      <c r="O26" s="5">
        <v>100000</v>
      </c>
      <c r="P26" s="17">
        <v>31000</v>
      </c>
      <c r="Q26" s="5"/>
      <c r="R26" s="5"/>
      <c r="S26" s="5"/>
      <c r="T26" s="5">
        <f t="shared" si="2"/>
        <v>536000</v>
      </c>
      <c r="U26" s="7">
        <f>+K26-T26</f>
        <v>3964000</v>
      </c>
      <c r="V26" s="7"/>
      <c r="W26" s="44"/>
      <c r="X26" s="7">
        <f t="shared" si="4"/>
        <v>3964000</v>
      </c>
    </row>
    <row r="27" spans="1:24" x14ac:dyDescent="0.25">
      <c r="A27" s="90"/>
      <c r="B27" s="4">
        <v>24</v>
      </c>
      <c r="C27" s="11" t="s">
        <v>49</v>
      </c>
      <c r="D27" s="6" t="s">
        <v>27</v>
      </c>
      <c r="E27" s="5">
        <v>5000000</v>
      </c>
      <c r="F27" s="5">
        <v>30</v>
      </c>
      <c r="G27" s="5">
        <f t="shared" ref="G27:G28" si="27">E27/30*F27</f>
        <v>5000000</v>
      </c>
      <c r="H27" s="5"/>
      <c r="I27" s="5"/>
      <c r="J27" s="5"/>
      <c r="K27" s="5">
        <f t="shared" ref="K27:K28" si="28">SUM(G27:I27)+J27</f>
        <v>5000000</v>
      </c>
      <c r="L27" s="5">
        <f t="shared" ref="L27" si="29">+G27*4%</f>
        <v>200000</v>
      </c>
      <c r="M27" s="5">
        <f>+E27*5%</f>
        <v>250000</v>
      </c>
      <c r="N27" s="5"/>
      <c r="O27" s="5"/>
      <c r="P27" s="17">
        <v>140000</v>
      </c>
      <c r="Q27" s="5"/>
      <c r="R27" s="5"/>
      <c r="S27" s="5"/>
      <c r="T27" s="5">
        <f t="shared" ref="T27:T28" si="30">SUM(L27:S27)</f>
        <v>590000</v>
      </c>
      <c r="U27" s="7">
        <f>+K27-T27</f>
        <v>4410000</v>
      </c>
      <c r="V27" s="7"/>
      <c r="W27" s="44"/>
      <c r="X27" s="7">
        <f t="shared" si="4"/>
        <v>4410000</v>
      </c>
    </row>
    <row r="28" spans="1:24" x14ac:dyDescent="0.25">
      <c r="A28" s="90"/>
      <c r="B28" s="4">
        <v>25</v>
      </c>
      <c r="C28" s="11" t="s">
        <v>50</v>
      </c>
      <c r="D28" s="6" t="s">
        <v>27</v>
      </c>
      <c r="E28" s="5">
        <v>4500000</v>
      </c>
      <c r="F28" s="5">
        <v>30</v>
      </c>
      <c r="G28" s="5">
        <f t="shared" si="27"/>
        <v>4500000</v>
      </c>
      <c r="H28" s="5"/>
      <c r="I28" s="5"/>
      <c r="J28" s="5"/>
      <c r="K28" s="5">
        <f t="shared" si="28"/>
        <v>4500000</v>
      </c>
      <c r="L28" s="5">
        <f>+G28*4%</f>
        <v>180000</v>
      </c>
      <c r="M28" s="5">
        <f>+G28*5%</f>
        <v>225000</v>
      </c>
      <c r="N28" s="5"/>
      <c r="O28" s="5"/>
      <c r="P28" s="17">
        <v>72000</v>
      </c>
      <c r="Q28" s="5"/>
      <c r="R28" s="5"/>
      <c r="S28" s="5"/>
      <c r="T28" s="5">
        <f t="shared" si="30"/>
        <v>477000</v>
      </c>
      <c r="U28" s="7">
        <f>+K28-T28</f>
        <v>4023000</v>
      </c>
      <c r="V28" s="7"/>
      <c r="W28" s="44"/>
      <c r="X28" s="7">
        <f t="shared" si="4"/>
        <v>4023000</v>
      </c>
    </row>
    <row r="29" spans="1:24" x14ac:dyDescent="0.25">
      <c r="A29" s="90"/>
      <c r="B29" s="4">
        <v>26</v>
      </c>
      <c r="C29" s="11" t="s">
        <v>51</v>
      </c>
      <c r="D29" s="6" t="s">
        <v>27</v>
      </c>
      <c r="E29" s="5">
        <v>6000000</v>
      </c>
      <c r="F29" s="5">
        <v>30</v>
      </c>
      <c r="G29" s="5">
        <f t="shared" si="19"/>
        <v>6000000</v>
      </c>
      <c r="H29" s="5"/>
      <c r="I29" s="5"/>
      <c r="J29" s="5"/>
      <c r="K29" s="5">
        <f t="shared" si="0"/>
        <v>6000000</v>
      </c>
      <c r="L29" s="5">
        <f>+E29*4%</f>
        <v>240000</v>
      </c>
      <c r="M29" s="5">
        <f>E29*5%</f>
        <v>300000</v>
      </c>
      <c r="N29" s="5"/>
      <c r="O29" s="5"/>
      <c r="P29" s="17">
        <v>79000</v>
      </c>
      <c r="Q29" s="5"/>
      <c r="R29" s="5"/>
      <c r="S29" s="5"/>
      <c r="T29" s="5">
        <f t="shared" si="2"/>
        <v>619000</v>
      </c>
      <c r="U29" s="7">
        <f>K29-T29</f>
        <v>5381000</v>
      </c>
      <c r="V29" s="7"/>
      <c r="W29" s="44"/>
      <c r="X29" s="7">
        <f t="shared" si="4"/>
        <v>5381000</v>
      </c>
    </row>
    <row r="30" spans="1:24" x14ac:dyDescent="0.25">
      <c r="A30" s="90"/>
      <c r="B30" s="4">
        <v>27</v>
      </c>
      <c r="C30" s="11" t="s">
        <v>53</v>
      </c>
      <c r="D30" s="6" t="s">
        <v>27</v>
      </c>
      <c r="E30" s="5">
        <v>3500000</v>
      </c>
      <c r="F30" s="5">
        <v>30</v>
      </c>
      <c r="G30" s="5">
        <f t="shared" si="19"/>
        <v>3500000</v>
      </c>
      <c r="H30" s="5">
        <v>328125</v>
      </c>
      <c r="I30" s="5"/>
      <c r="J30" s="5"/>
      <c r="K30" s="5">
        <f>SUM(G30:I30)+J30</f>
        <v>3828125</v>
      </c>
      <c r="L30" s="5">
        <v>140000</v>
      </c>
      <c r="M30" s="5">
        <v>175000</v>
      </c>
      <c r="N30" s="5"/>
      <c r="O30" s="5">
        <v>100000</v>
      </c>
      <c r="P30" s="17">
        <v>0</v>
      </c>
      <c r="Q30" s="5"/>
      <c r="R30" s="5"/>
      <c r="S30" s="5"/>
      <c r="T30" s="5">
        <f t="shared" ref="T30" si="31">SUM(L30:S30)</f>
        <v>415000</v>
      </c>
      <c r="U30" s="7">
        <f>K30-T30</f>
        <v>3413125</v>
      </c>
      <c r="V30" s="7"/>
      <c r="W30" s="44"/>
      <c r="X30" s="7">
        <f t="shared" si="4"/>
        <v>3413125</v>
      </c>
    </row>
    <row r="31" spans="1:24" x14ac:dyDescent="0.25">
      <c r="A31" s="90"/>
      <c r="B31" s="4">
        <v>28</v>
      </c>
      <c r="C31" s="11" t="s">
        <v>54</v>
      </c>
      <c r="D31" s="6" t="s">
        <v>27</v>
      </c>
      <c r="E31" s="5">
        <v>4800000</v>
      </c>
      <c r="F31" s="5">
        <v>30</v>
      </c>
      <c r="G31" s="5">
        <f t="shared" ref="G31:G62" si="32">+E31/30*F31</f>
        <v>4800000</v>
      </c>
      <c r="H31" s="5"/>
      <c r="I31" s="5"/>
      <c r="J31" s="5"/>
      <c r="K31" s="5">
        <f t="shared" si="0"/>
        <v>4800000</v>
      </c>
      <c r="L31" s="5">
        <f>+G31*4%</f>
        <v>192000</v>
      </c>
      <c r="M31" s="5">
        <f>+G31*5%</f>
        <v>240000</v>
      </c>
      <c r="N31" s="5"/>
      <c r="O31" s="5"/>
      <c r="P31" s="5">
        <v>0</v>
      </c>
      <c r="Q31" s="5">
        <v>1300000</v>
      </c>
      <c r="R31" s="5"/>
      <c r="S31" s="5">
        <v>209579</v>
      </c>
      <c r="T31" s="5">
        <f t="shared" si="2"/>
        <v>1941579</v>
      </c>
      <c r="U31" s="7">
        <f>K31-T31</f>
        <v>2858421</v>
      </c>
      <c r="V31" s="7"/>
      <c r="W31" s="44"/>
      <c r="X31" s="7">
        <f t="shared" si="4"/>
        <v>2858421</v>
      </c>
    </row>
    <row r="32" spans="1:24" x14ac:dyDescent="0.25">
      <c r="A32" s="90"/>
      <c r="B32" s="4">
        <v>29</v>
      </c>
      <c r="C32" s="11" t="s">
        <v>55</v>
      </c>
      <c r="D32" s="6" t="s">
        <v>27</v>
      </c>
      <c r="E32" s="5">
        <v>4280000</v>
      </c>
      <c r="F32" s="5">
        <v>30</v>
      </c>
      <c r="G32" s="5">
        <f>E32/30*F32</f>
        <v>4280000</v>
      </c>
      <c r="H32" s="5"/>
      <c r="I32" s="5"/>
      <c r="J32" s="5"/>
      <c r="K32" s="5">
        <f t="shared" si="0"/>
        <v>4280000</v>
      </c>
      <c r="L32" s="5">
        <f>+G32*4%</f>
        <v>171200</v>
      </c>
      <c r="M32" s="5">
        <f>+G32*5%</f>
        <v>214000</v>
      </c>
      <c r="N32" s="5"/>
      <c r="O32" s="5"/>
      <c r="P32" s="17">
        <v>31064</v>
      </c>
      <c r="Q32" s="5"/>
      <c r="R32" s="5"/>
      <c r="S32" s="5"/>
      <c r="T32" s="5">
        <f t="shared" si="2"/>
        <v>416264</v>
      </c>
      <c r="U32" s="7">
        <f>K32-T32</f>
        <v>3863736</v>
      </c>
      <c r="V32" s="7"/>
      <c r="W32" s="44"/>
      <c r="X32" s="7">
        <f t="shared" si="4"/>
        <v>3863736</v>
      </c>
    </row>
    <row r="33" spans="1:26" x14ac:dyDescent="0.25">
      <c r="A33" s="90"/>
      <c r="B33" s="4">
        <v>30</v>
      </c>
      <c r="C33" s="11" t="s">
        <v>56</v>
      </c>
      <c r="D33" s="6" t="s">
        <v>27</v>
      </c>
      <c r="E33" s="5">
        <v>6000000</v>
      </c>
      <c r="F33" s="5">
        <v>30</v>
      </c>
      <c r="G33" s="5">
        <f t="shared" si="32"/>
        <v>6000000</v>
      </c>
      <c r="H33" s="5"/>
      <c r="I33" s="5"/>
      <c r="J33" s="5"/>
      <c r="K33" s="5">
        <f t="shared" si="0"/>
        <v>6000000</v>
      </c>
      <c r="L33" s="5">
        <f>+K33*4%</f>
        <v>240000</v>
      </c>
      <c r="M33" s="5">
        <f>+K33*5%</f>
        <v>300000</v>
      </c>
      <c r="N33" s="5"/>
      <c r="O33" s="5"/>
      <c r="P33" s="5">
        <v>208000</v>
      </c>
      <c r="Q33" s="5"/>
      <c r="R33" s="5">
        <v>122614</v>
      </c>
      <c r="S33" s="5"/>
      <c r="T33" s="5">
        <f t="shared" si="2"/>
        <v>870614</v>
      </c>
      <c r="U33" s="7">
        <f t="shared" ref="U33:U34" si="33">+K33-T33</f>
        <v>5129386</v>
      </c>
      <c r="V33" s="7"/>
      <c r="W33" s="44"/>
      <c r="X33" s="7">
        <f t="shared" si="4"/>
        <v>5129386</v>
      </c>
    </row>
    <row r="34" spans="1:26" x14ac:dyDescent="0.25">
      <c r="A34" s="90"/>
      <c r="B34" s="4">
        <v>31</v>
      </c>
      <c r="C34" s="11" t="s">
        <v>57</v>
      </c>
      <c r="D34" s="6" t="s">
        <v>27</v>
      </c>
      <c r="E34" s="5">
        <v>4500000</v>
      </c>
      <c r="F34" s="5">
        <v>30</v>
      </c>
      <c r="G34" s="5">
        <f t="shared" si="32"/>
        <v>4500000</v>
      </c>
      <c r="H34" s="5">
        <v>1582031</v>
      </c>
      <c r="I34" s="5">
        <v>500000</v>
      </c>
      <c r="J34" s="5"/>
      <c r="K34" s="5">
        <f t="shared" si="0"/>
        <v>6582031</v>
      </c>
      <c r="L34" s="5">
        <f t="shared" si="1"/>
        <v>180000</v>
      </c>
      <c r="M34" s="5">
        <f t="shared" si="8"/>
        <v>225000</v>
      </c>
      <c r="N34" s="5"/>
      <c r="O34" s="5"/>
      <c r="P34" s="5">
        <v>11000</v>
      </c>
      <c r="Q34" s="5"/>
      <c r="R34" s="5">
        <v>606666</v>
      </c>
      <c r="S34" s="5">
        <v>551399</v>
      </c>
      <c r="T34" s="5">
        <f t="shared" si="2"/>
        <v>1574065</v>
      </c>
      <c r="U34" s="7">
        <f t="shared" si="33"/>
        <v>5007966</v>
      </c>
      <c r="V34" s="7"/>
      <c r="W34" s="44"/>
      <c r="X34" s="7">
        <f t="shared" si="4"/>
        <v>5007966</v>
      </c>
    </row>
    <row r="35" spans="1:26" x14ac:dyDescent="0.25">
      <c r="A35" s="90"/>
      <c r="B35" s="4">
        <v>32</v>
      </c>
      <c r="C35" s="3" t="s">
        <v>58</v>
      </c>
      <c r="D35" s="4" t="s">
        <v>27</v>
      </c>
      <c r="E35" s="5">
        <v>4815000</v>
      </c>
      <c r="F35" s="5">
        <v>30</v>
      </c>
      <c r="G35" s="5">
        <f>+E35-J35</f>
        <v>4815000</v>
      </c>
      <c r="H35" s="5"/>
      <c r="I35" s="5"/>
      <c r="J35" s="5"/>
      <c r="K35" s="5">
        <f t="shared" si="0"/>
        <v>4815000</v>
      </c>
      <c r="L35" s="5">
        <f>+E35*4%</f>
        <v>192600</v>
      </c>
      <c r="M35" s="5">
        <f>+E35*5%</f>
        <v>240750</v>
      </c>
      <c r="N35" s="5"/>
      <c r="O35" s="5"/>
      <c r="P35" s="5">
        <v>34627</v>
      </c>
      <c r="Q35" s="5"/>
      <c r="R35" s="5"/>
      <c r="S35" s="5">
        <v>541379</v>
      </c>
      <c r="T35" s="5">
        <f t="shared" si="2"/>
        <v>1009356</v>
      </c>
      <c r="U35" s="7">
        <f>K35-T35</f>
        <v>3805644</v>
      </c>
      <c r="V35" s="7"/>
      <c r="W35" s="44"/>
      <c r="X35" s="7">
        <f t="shared" si="4"/>
        <v>3805644</v>
      </c>
    </row>
    <row r="36" spans="1:26" ht="24" x14ac:dyDescent="0.25">
      <c r="A36" s="90"/>
      <c r="B36" s="4">
        <v>33</v>
      </c>
      <c r="C36" s="11" t="s">
        <v>59</v>
      </c>
      <c r="D36" s="6" t="s">
        <v>27</v>
      </c>
      <c r="E36" s="5">
        <v>6000000</v>
      </c>
      <c r="F36" s="5">
        <v>30</v>
      </c>
      <c r="G36" s="5">
        <f>+E36/30*F36</f>
        <v>6000000</v>
      </c>
      <c r="H36" s="5"/>
      <c r="I36" s="5"/>
      <c r="J36" s="5"/>
      <c r="K36" s="5">
        <f t="shared" ref="K36:K80" si="34">SUM(G36:I36)+J36</f>
        <v>6000000</v>
      </c>
      <c r="L36" s="5">
        <f t="shared" si="1"/>
        <v>240000</v>
      </c>
      <c r="M36" s="5">
        <f>+G36*5%</f>
        <v>300000</v>
      </c>
      <c r="N36" s="5"/>
      <c r="O36" s="5"/>
      <c r="P36" s="5">
        <v>156000</v>
      </c>
      <c r="Q36" s="5"/>
      <c r="R36" s="5"/>
      <c r="S36" s="5"/>
      <c r="T36" s="5">
        <f t="shared" si="2"/>
        <v>696000</v>
      </c>
      <c r="U36" s="7">
        <f>+K36-T36</f>
        <v>5304000</v>
      </c>
      <c r="V36" s="7"/>
      <c r="W36" s="44"/>
      <c r="X36" s="7">
        <f t="shared" si="4"/>
        <v>5304000</v>
      </c>
    </row>
    <row r="37" spans="1:26" x14ac:dyDescent="0.25">
      <c r="A37" s="90"/>
      <c r="B37" s="4">
        <v>34</v>
      </c>
      <c r="C37" s="3" t="s">
        <v>60</v>
      </c>
      <c r="D37" s="4" t="s">
        <v>27</v>
      </c>
      <c r="E37" s="5">
        <v>6900000</v>
      </c>
      <c r="F37" s="5">
        <v>30</v>
      </c>
      <c r="G37" s="5">
        <f t="shared" si="32"/>
        <v>6900000</v>
      </c>
      <c r="H37" s="5"/>
      <c r="I37" s="5">
        <v>1500000</v>
      </c>
      <c r="J37" s="5">
        <v>231973</v>
      </c>
      <c r="K37" s="5">
        <f t="shared" si="34"/>
        <v>8631973</v>
      </c>
      <c r="L37" s="5">
        <v>276000</v>
      </c>
      <c r="M37" s="5">
        <v>345000</v>
      </c>
      <c r="N37" s="5"/>
      <c r="O37" s="5"/>
      <c r="P37" s="5">
        <v>345000</v>
      </c>
      <c r="Q37" s="5"/>
      <c r="R37" s="5"/>
      <c r="S37" s="5"/>
      <c r="T37" s="5">
        <f t="shared" si="2"/>
        <v>966000</v>
      </c>
      <c r="U37" s="7">
        <f>K37-T37</f>
        <v>7665973</v>
      </c>
      <c r="V37" s="7"/>
      <c r="W37" s="44"/>
      <c r="X37" s="7">
        <f t="shared" si="4"/>
        <v>7665973</v>
      </c>
    </row>
    <row r="38" spans="1:26" x14ac:dyDescent="0.25">
      <c r="A38" s="90"/>
      <c r="B38" s="4">
        <v>35</v>
      </c>
      <c r="C38" s="3" t="s">
        <v>62</v>
      </c>
      <c r="D38" s="4" t="s">
        <v>27</v>
      </c>
      <c r="E38" s="5">
        <v>5500000</v>
      </c>
      <c r="F38" s="5">
        <v>30</v>
      </c>
      <c r="G38" s="5">
        <f t="shared" si="32"/>
        <v>5500000</v>
      </c>
      <c r="H38" s="5"/>
      <c r="I38" s="5">
        <v>500000</v>
      </c>
      <c r="J38" s="5"/>
      <c r="K38" s="5">
        <f t="shared" ref="K38" si="35">SUM(G38:I38)+J38</f>
        <v>6000000</v>
      </c>
      <c r="L38" s="5">
        <f>+G38*4%</f>
        <v>220000</v>
      </c>
      <c r="M38" s="5">
        <f>+G38*5%</f>
        <v>275000</v>
      </c>
      <c r="N38" s="5"/>
      <c r="O38" s="5"/>
      <c r="P38" s="5">
        <v>144000</v>
      </c>
      <c r="Q38" s="5"/>
      <c r="R38" s="5"/>
      <c r="S38" s="5"/>
      <c r="T38" s="5">
        <f t="shared" ref="T38" si="36">SUM(L38:S38)</f>
        <v>639000</v>
      </c>
      <c r="U38" s="7">
        <f t="shared" ref="U38" si="37">K38-T38</f>
        <v>5361000</v>
      </c>
      <c r="V38" s="7"/>
      <c r="W38" s="44"/>
      <c r="X38" s="7">
        <f t="shared" si="4"/>
        <v>5361000</v>
      </c>
    </row>
    <row r="39" spans="1:26" x14ac:dyDescent="0.25">
      <c r="A39" s="90"/>
      <c r="B39" s="4">
        <v>36</v>
      </c>
      <c r="C39" s="11" t="s">
        <v>63</v>
      </c>
      <c r="D39" s="6" t="s">
        <v>27</v>
      </c>
      <c r="E39" s="5">
        <v>5350000</v>
      </c>
      <c r="F39" s="5">
        <v>30</v>
      </c>
      <c r="G39" s="5">
        <f t="shared" si="32"/>
        <v>5350000</v>
      </c>
      <c r="H39" s="5"/>
      <c r="I39" s="5"/>
      <c r="J39" s="5"/>
      <c r="K39" s="5">
        <f t="shared" si="34"/>
        <v>5350000</v>
      </c>
      <c r="L39" s="5">
        <f>+G39*4%</f>
        <v>214000</v>
      </c>
      <c r="M39" s="5">
        <f>+G39*5%</f>
        <v>267500</v>
      </c>
      <c r="N39" s="5"/>
      <c r="O39" s="5"/>
      <c r="P39" s="5">
        <v>121000</v>
      </c>
      <c r="Q39" s="5"/>
      <c r="R39" s="5"/>
      <c r="S39" s="5"/>
      <c r="T39" s="5">
        <f>SUM(L39:S39)</f>
        <v>602500</v>
      </c>
      <c r="U39" s="7">
        <f t="shared" ref="U39:U46" si="38">+K39-T39</f>
        <v>4747500</v>
      </c>
      <c r="V39" s="7"/>
      <c r="W39" s="44"/>
      <c r="X39" s="7">
        <f t="shared" si="4"/>
        <v>4747500</v>
      </c>
    </row>
    <row r="40" spans="1:26" x14ac:dyDescent="0.25">
      <c r="A40" s="90"/>
      <c r="B40" s="4">
        <v>37</v>
      </c>
      <c r="C40" s="11" t="s">
        <v>149</v>
      </c>
      <c r="D40" s="6"/>
      <c r="E40" s="5">
        <v>4000000</v>
      </c>
      <c r="F40" s="5">
        <v>18</v>
      </c>
      <c r="G40" s="5">
        <f t="shared" si="32"/>
        <v>2400000</v>
      </c>
      <c r="H40" s="5"/>
      <c r="I40" s="5"/>
      <c r="J40" s="5"/>
      <c r="K40" s="5">
        <f t="shared" ref="K40" si="39">SUM(G40:I40)+J40</f>
        <v>2400000</v>
      </c>
      <c r="L40" s="5">
        <f>+G40*4%</f>
        <v>96000</v>
      </c>
      <c r="M40" s="5">
        <v>96000</v>
      </c>
      <c r="N40" s="5"/>
      <c r="O40" s="5"/>
      <c r="P40" s="5">
        <v>0</v>
      </c>
      <c r="Q40" s="5"/>
      <c r="R40" s="5"/>
      <c r="S40" s="5"/>
      <c r="T40" s="5">
        <f>SUM(L40:S40)</f>
        <v>192000</v>
      </c>
      <c r="U40" s="7">
        <f t="shared" si="38"/>
        <v>2208000</v>
      </c>
      <c r="V40" s="7"/>
      <c r="W40" s="44"/>
      <c r="X40" s="7">
        <f t="shared" si="4"/>
        <v>2208000</v>
      </c>
    </row>
    <row r="41" spans="1:26" x14ac:dyDescent="0.25">
      <c r="A41" s="90"/>
      <c r="B41" s="4">
        <v>38</v>
      </c>
      <c r="C41" s="11" t="s">
        <v>64</v>
      </c>
      <c r="D41" s="6" t="s">
        <v>27</v>
      </c>
      <c r="E41" s="5">
        <v>4500000</v>
      </c>
      <c r="F41" s="5">
        <v>30</v>
      </c>
      <c r="G41" s="5">
        <f t="shared" si="32"/>
        <v>4500000</v>
      </c>
      <c r="H41" s="5"/>
      <c r="I41" s="5"/>
      <c r="J41" s="5">
        <f>+E41-G41</f>
        <v>0</v>
      </c>
      <c r="K41" s="5">
        <f t="shared" si="34"/>
        <v>4500000</v>
      </c>
      <c r="L41" s="5">
        <f>+E41*4%</f>
        <v>180000</v>
      </c>
      <c r="M41" s="5">
        <f>+E41*5%</f>
        <v>225000</v>
      </c>
      <c r="N41" s="5"/>
      <c r="O41" s="5"/>
      <c r="P41" s="5">
        <v>10000</v>
      </c>
      <c r="Q41" s="5"/>
      <c r="R41" s="5"/>
      <c r="S41" s="5"/>
      <c r="T41" s="5">
        <f>SUM(L41:S41)</f>
        <v>415000</v>
      </c>
      <c r="U41" s="7">
        <f t="shared" si="38"/>
        <v>4085000</v>
      </c>
      <c r="V41" s="7"/>
      <c r="W41" s="44"/>
      <c r="X41" s="7">
        <f t="shared" si="4"/>
        <v>4085000</v>
      </c>
    </row>
    <row r="42" spans="1:26" ht="24" x14ac:dyDescent="0.25">
      <c r="A42" s="90"/>
      <c r="B42" s="4">
        <v>39</v>
      </c>
      <c r="C42" s="11" t="s">
        <v>65</v>
      </c>
      <c r="D42" s="6"/>
      <c r="E42" s="5">
        <v>6000000</v>
      </c>
      <c r="F42" s="5">
        <v>30</v>
      </c>
      <c r="G42" s="5">
        <f t="shared" si="32"/>
        <v>6000000</v>
      </c>
      <c r="H42" s="5"/>
      <c r="I42" s="5"/>
      <c r="J42" s="5"/>
      <c r="K42" s="5">
        <f t="shared" ref="K42" si="40">SUM(G42:I42)+J42</f>
        <v>6000000</v>
      </c>
      <c r="L42" s="5">
        <f>+G42*4%</f>
        <v>240000</v>
      </c>
      <c r="M42" s="5">
        <f>+G42*5%</f>
        <v>300000</v>
      </c>
      <c r="N42" s="5"/>
      <c r="O42" s="5"/>
      <c r="P42" s="5">
        <v>203000</v>
      </c>
      <c r="Q42" s="5"/>
      <c r="R42" s="5"/>
      <c r="T42" s="5">
        <f>SUM(L42:S42)</f>
        <v>743000</v>
      </c>
      <c r="U42" s="7">
        <f t="shared" si="38"/>
        <v>5257000</v>
      </c>
      <c r="V42" s="7"/>
      <c r="W42" s="44"/>
      <c r="X42" s="7">
        <f t="shared" si="4"/>
        <v>5257000</v>
      </c>
    </row>
    <row r="43" spans="1:26" ht="26.25" customHeight="1" x14ac:dyDescent="0.25">
      <c r="A43" s="90"/>
      <c r="B43" s="4">
        <v>40</v>
      </c>
      <c r="C43" s="11" t="s">
        <v>66</v>
      </c>
      <c r="D43" s="6" t="s">
        <v>27</v>
      </c>
      <c r="E43" s="5">
        <v>4250000</v>
      </c>
      <c r="F43" s="5">
        <v>30</v>
      </c>
      <c r="G43" s="5">
        <f t="shared" si="32"/>
        <v>4250000</v>
      </c>
      <c r="H43" s="5"/>
      <c r="I43" s="5"/>
      <c r="J43" s="5"/>
      <c r="K43" s="5">
        <f t="shared" ref="K43" si="41">SUM(G43:I43)+J43</f>
        <v>4250000</v>
      </c>
      <c r="L43" s="5">
        <f>+G43*4%</f>
        <v>170000</v>
      </c>
      <c r="M43" s="5">
        <f>+G43*5%</f>
        <v>212500</v>
      </c>
      <c r="N43" s="5"/>
      <c r="O43" s="5"/>
      <c r="P43" s="5">
        <v>38000</v>
      </c>
      <c r="Q43" s="5"/>
      <c r="R43" s="5"/>
      <c r="S43" s="5"/>
      <c r="T43" s="5">
        <f t="shared" ref="T43" si="42">SUM(L43:S43)</f>
        <v>420500</v>
      </c>
      <c r="U43" s="7">
        <f t="shared" si="38"/>
        <v>3829500</v>
      </c>
      <c r="V43" s="7"/>
      <c r="W43" s="44"/>
      <c r="X43" s="7">
        <f t="shared" si="4"/>
        <v>3829500</v>
      </c>
    </row>
    <row r="44" spans="1:26" ht="26.25" customHeight="1" x14ac:dyDescent="0.25">
      <c r="A44" s="90"/>
      <c r="B44" s="4">
        <v>41</v>
      </c>
      <c r="C44" s="11" t="s">
        <v>67</v>
      </c>
      <c r="D44" s="6"/>
      <c r="E44" s="5">
        <v>4000000</v>
      </c>
      <c r="F44" s="5">
        <v>30</v>
      </c>
      <c r="G44" s="5">
        <f t="shared" si="32"/>
        <v>4000000.0000000005</v>
      </c>
      <c r="H44" s="5"/>
      <c r="I44" s="5"/>
      <c r="J44" s="5"/>
      <c r="K44" s="5">
        <f t="shared" ref="K44" si="43">SUM(G44:I44)+J44</f>
        <v>4000000.0000000005</v>
      </c>
      <c r="L44" s="5">
        <f>+G44*4%</f>
        <v>160000.00000000003</v>
      </c>
      <c r="M44" s="5">
        <f>+G44*5%</f>
        <v>200000.00000000003</v>
      </c>
      <c r="N44" s="5"/>
      <c r="O44" s="5"/>
      <c r="P44" s="5">
        <v>4500</v>
      </c>
      <c r="Q44" s="5"/>
      <c r="R44" s="5"/>
      <c r="S44" s="5"/>
      <c r="T44" s="5">
        <f t="shared" ref="T44" si="44">SUM(L44:S44)</f>
        <v>364500.00000000006</v>
      </c>
      <c r="U44" s="7">
        <f t="shared" si="38"/>
        <v>3635500.0000000005</v>
      </c>
      <c r="V44" s="7"/>
      <c r="W44" s="44"/>
      <c r="X44" s="7">
        <f t="shared" si="4"/>
        <v>3635500.0000000005</v>
      </c>
    </row>
    <row r="45" spans="1:26" ht="24" x14ac:dyDescent="0.25">
      <c r="A45" s="90"/>
      <c r="B45" s="4">
        <v>42</v>
      </c>
      <c r="C45" s="11" t="s">
        <v>68</v>
      </c>
      <c r="D45" s="6" t="s">
        <v>27</v>
      </c>
      <c r="E45" s="5">
        <v>3000000</v>
      </c>
      <c r="F45" s="5">
        <v>30</v>
      </c>
      <c r="G45" s="5">
        <f t="shared" si="32"/>
        <v>3000000</v>
      </c>
      <c r="H45" s="5"/>
      <c r="I45" s="5" t="s">
        <v>1</v>
      </c>
      <c r="J45" s="5"/>
      <c r="K45" s="5">
        <f t="shared" si="34"/>
        <v>3000000</v>
      </c>
      <c r="L45" s="5">
        <f>+K45*4%</f>
        <v>120000</v>
      </c>
      <c r="M45" s="5">
        <f>+K45*5%</f>
        <v>150000</v>
      </c>
      <c r="N45" s="5"/>
      <c r="O45" s="5">
        <v>100000</v>
      </c>
      <c r="P45" s="5"/>
      <c r="Q45" s="5"/>
      <c r="R45" s="5"/>
      <c r="S45" s="5"/>
      <c r="T45" s="5">
        <f t="shared" si="2"/>
        <v>370000</v>
      </c>
      <c r="U45" s="7">
        <f t="shared" si="38"/>
        <v>2630000</v>
      </c>
      <c r="V45" s="7"/>
      <c r="W45" s="44"/>
      <c r="X45" s="7">
        <f t="shared" si="4"/>
        <v>2630000</v>
      </c>
    </row>
    <row r="46" spans="1:26" x14ac:dyDescent="0.25">
      <c r="A46" s="90"/>
      <c r="B46" s="4">
        <v>43</v>
      </c>
      <c r="C46" s="11" t="s">
        <v>69</v>
      </c>
      <c r="D46" s="6" t="s">
        <v>27</v>
      </c>
      <c r="E46" s="5">
        <v>5000000</v>
      </c>
      <c r="F46" s="5">
        <v>30</v>
      </c>
      <c r="G46" s="5">
        <f t="shared" si="32"/>
        <v>5000000</v>
      </c>
      <c r="H46" s="5"/>
      <c r="I46" s="5">
        <v>800000</v>
      </c>
      <c r="J46" s="5"/>
      <c r="K46" s="5">
        <f t="shared" si="34"/>
        <v>5800000</v>
      </c>
      <c r="L46" s="5">
        <f>+G46*4%</f>
        <v>200000</v>
      </c>
      <c r="M46" s="5">
        <f>+G46*5%</f>
        <v>250000</v>
      </c>
      <c r="N46" s="5"/>
      <c r="O46" s="5"/>
      <c r="P46" s="5">
        <v>50000</v>
      </c>
      <c r="Q46" s="5"/>
      <c r="R46" s="5"/>
      <c r="S46" s="5"/>
      <c r="T46" s="5">
        <f t="shared" si="2"/>
        <v>500000</v>
      </c>
      <c r="U46" s="7">
        <f t="shared" si="38"/>
        <v>5300000</v>
      </c>
      <c r="V46" s="7"/>
      <c r="W46" s="44"/>
      <c r="X46" s="7">
        <f t="shared" si="4"/>
        <v>5300000</v>
      </c>
      <c r="Y46" s="7">
        <v>4886979</v>
      </c>
      <c r="Z46" s="55">
        <f>+X46-Y46</f>
        <v>413021</v>
      </c>
    </row>
    <row r="47" spans="1:26" ht="30.75" customHeight="1" x14ac:dyDescent="0.25">
      <c r="A47" s="90"/>
      <c r="B47" s="4">
        <v>44</v>
      </c>
      <c r="C47" s="11" t="s">
        <v>70</v>
      </c>
      <c r="D47" s="6" t="s">
        <v>27</v>
      </c>
      <c r="E47" s="5">
        <v>5152050</v>
      </c>
      <c r="F47" s="5">
        <v>30</v>
      </c>
      <c r="G47" s="5">
        <f>+E47-J47</f>
        <v>5152050</v>
      </c>
      <c r="H47" s="5"/>
      <c r="I47" s="5">
        <v>350000</v>
      </c>
      <c r="J47" s="5"/>
      <c r="K47" s="5">
        <f t="shared" si="34"/>
        <v>5502050</v>
      </c>
      <c r="L47" s="5">
        <f>+G47*4%</f>
        <v>206082</v>
      </c>
      <c r="M47" s="5">
        <f>+G47*5%</f>
        <v>257602.5</v>
      </c>
      <c r="N47" s="5"/>
      <c r="O47" s="5"/>
      <c r="P47" s="5">
        <v>93000</v>
      </c>
      <c r="Q47" s="5"/>
      <c r="R47" s="5"/>
      <c r="S47" s="5"/>
      <c r="T47" s="5">
        <f t="shared" si="2"/>
        <v>556684.5</v>
      </c>
      <c r="U47" s="7">
        <f>K47-T47</f>
        <v>4945365.5</v>
      </c>
      <c r="V47" s="7"/>
      <c r="W47" s="44"/>
      <c r="X47" s="7">
        <f t="shared" si="4"/>
        <v>4945365.5</v>
      </c>
    </row>
    <row r="48" spans="1:26" x14ac:dyDescent="0.25">
      <c r="A48" s="90"/>
      <c r="B48" s="4">
        <v>45</v>
      </c>
      <c r="C48" s="11" t="s">
        <v>71</v>
      </c>
      <c r="D48" s="6" t="s">
        <v>27</v>
      </c>
      <c r="E48" s="5">
        <v>9590321</v>
      </c>
      <c r="F48" s="5">
        <v>30</v>
      </c>
      <c r="G48" s="5">
        <f t="shared" si="32"/>
        <v>9590321</v>
      </c>
      <c r="H48" s="5"/>
      <c r="I48" s="5"/>
      <c r="J48" s="5"/>
      <c r="K48" s="5">
        <f t="shared" si="34"/>
        <v>9590321</v>
      </c>
      <c r="L48" s="5">
        <v>268529</v>
      </c>
      <c r="M48" s="5">
        <v>335661</v>
      </c>
      <c r="N48" s="5"/>
      <c r="O48" s="5"/>
      <c r="P48" s="5">
        <v>634000</v>
      </c>
      <c r="Q48" s="5"/>
      <c r="R48" s="5"/>
      <c r="S48" s="5"/>
      <c r="T48" s="5">
        <f t="shared" si="2"/>
        <v>1238190</v>
      </c>
      <c r="U48" s="7">
        <f>K48-T48</f>
        <v>8352131</v>
      </c>
      <c r="V48" s="7"/>
      <c r="W48" s="44"/>
      <c r="X48" s="7">
        <f t="shared" si="4"/>
        <v>8352131</v>
      </c>
    </row>
    <row r="49" spans="1:24" x14ac:dyDescent="0.25">
      <c r="A49" s="91"/>
      <c r="B49" s="4">
        <v>46</v>
      </c>
      <c r="C49" s="11" t="s">
        <v>72</v>
      </c>
      <c r="D49" s="6" t="s">
        <v>27</v>
      </c>
      <c r="E49" s="5">
        <v>4500000</v>
      </c>
      <c r="F49" s="5">
        <v>30</v>
      </c>
      <c r="G49" s="5">
        <f>+E49-J49</f>
        <v>3450000</v>
      </c>
      <c r="H49" s="5"/>
      <c r="I49" s="5"/>
      <c r="J49" s="5">
        <v>1050000</v>
      </c>
      <c r="K49" s="5">
        <f t="shared" si="34"/>
        <v>4500000</v>
      </c>
      <c r="L49" s="5">
        <v>180000</v>
      </c>
      <c r="M49" s="5">
        <v>225000</v>
      </c>
      <c r="N49" s="5"/>
      <c r="O49" s="5">
        <v>100000</v>
      </c>
      <c r="P49" s="5">
        <v>31000</v>
      </c>
      <c r="Q49" s="5"/>
      <c r="R49" s="5"/>
      <c r="S49" s="5"/>
      <c r="T49" s="5">
        <f t="shared" si="2"/>
        <v>536000</v>
      </c>
      <c r="U49" s="7">
        <f>K49-T49</f>
        <v>3964000</v>
      </c>
      <c r="V49" s="7"/>
      <c r="W49" s="44"/>
      <c r="X49" s="7">
        <f t="shared" si="4"/>
        <v>3964000</v>
      </c>
    </row>
    <row r="50" spans="1:24" ht="15" customHeight="1" x14ac:dyDescent="0.25">
      <c r="A50" s="89" t="s">
        <v>144</v>
      </c>
      <c r="B50" s="4">
        <v>1</v>
      </c>
      <c r="C50" s="11" t="s">
        <v>145</v>
      </c>
      <c r="D50" s="6"/>
      <c r="E50" s="5">
        <v>368858</v>
      </c>
      <c r="F50" s="5">
        <v>30</v>
      </c>
      <c r="G50" s="5">
        <f t="shared" si="32"/>
        <v>368858</v>
      </c>
      <c r="H50" s="5"/>
      <c r="I50" s="5"/>
      <c r="J50" s="5"/>
      <c r="K50" s="5">
        <f t="shared" si="34"/>
        <v>368858</v>
      </c>
      <c r="L50" s="5"/>
      <c r="M50" s="5"/>
      <c r="N50" s="5"/>
      <c r="O50" s="5"/>
      <c r="P50" s="5"/>
      <c r="Q50" s="5"/>
      <c r="R50" s="5"/>
      <c r="S50" s="5"/>
      <c r="T50" s="5"/>
      <c r="U50" s="7">
        <f>K50-T50</f>
        <v>368858</v>
      </c>
      <c r="V50" s="7"/>
      <c r="W50" s="44"/>
      <c r="X50" s="7">
        <f t="shared" si="4"/>
        <v>368858</v>
      </c>
    </row>
    <row r="51" spans="1:24" x14ac:dyDescent="0.25">
      <c r="A51" s="90"/>
      <c r="B51" s="4">
        <v>2</v>
      </c>
      <c r="C51" s="11" t="s">
        <v>73</v>
      </c>
      <c r="D51" s="6" t="s">
        <v>27</v>
      </c>
      <c r="E51" s="5">
        <v>3000000</v>
      </c>
      <c r="F51" s="5">
        <v>30</v>
      </c>
      <c r="G51" s="5">
        <f t="shared" si="32"/>
        <v>3000000</v>
      </c>
      <c r="H51" s="5"/>
      <c r="I51" s="5"/>
      <c r="J51" s="5"/>
      <c r="K51" s="5">
        <f t="shared" si="34"/>
        <v>3000000</v>
      </c>
      <c r="L51" s="5">
        <v>120000</v>
      </c>
      <c r="M51" s="5">
        <v>150000</v>
      </c>
      <c r="N51" s="5"/>
      <c r="O51" s="5">
        <v>100000</v>
      </c>
      <c r="P51" s="5"/>
      <c r="Q51" s="5"/>
      <c r="R51" s="5"/>
      <c r="S51" s="5"/>
      <c r="T51" s="5">
        <f t="shared" si="2"/>
        <v>370000</v>
      </c>
      <c r="U51" s="7">
        <f>K51-T51</f>
        <v>2630000</v>
      </c>
      <c r="V51" s="7"/>
      <c r="W51" s="44"/>
      <c r="X51" s="7">
        <f t="shared" si="4"/>
        <v>2630000</v>
      </c>
    </row>
    <row r="52" spans="1:24" ht="24" customHeight="1" x14ac:dyDescent="0.25">
      <c r="A52" s="90"/>
      <c r="B52" s="4">
        <v>3</v>
      </c>
      <c r="C52" s="11" t="s">
        <v>74</v>
      </c>
      <c r="D52" s="6" t="s">
        <v>27</v>
      </c>
      <c r="E52" s="5">
        <v>4000000</v>
      </c>
      <c r="F52" s="5">
        <v>30</v>
      </c>
      <c r="G52" s="5">
        <f t="shared" si="32"/>
        <v>4000000.0000000005</v>
      </c>
      <c r="H52" s="5"/>
      <c r="I52" s="5"/>
      <c r="J52" s="5"/>
      <c r="K52" s="5">
        <f t="shared" si="34"/>
        <v>4000000.0000000005</v>
      </c>
      <c r="L52" s="5">
        <f>+G52*4%</f>
        <v>160000.00000000003</v>
      </c>
      <c r="M52" s="5">
        <f>+G52*5%</f>
        <v>200000.00000000003</v>
      </c>
      <c r="N52" s="5"/>
      <c r="O52" s="5"/>
      <c r="P52" s="17">
        <v>3000</v>
      </c>
      <c r="Q52" s="5"/>
      <c r="R52" s="5">
        <v>163485</v>
      </c>
      <c r="S52" s="5"/>
      <c r="T52" s="5">
        <f t="shared" si="2"/>
        <v>526485</v>
      </c>
      <c r="U52" s="7">
        <f>+K52-T52</f>
        <v>3473515.0000000005</v>
      </c>
      <c r="V52" s="7"/>
      <c r="W52" s="44"/>
      <c r="X52" s="7">
        <f t="shared" si="4"/>
        <v>3473515.0000000005</v>
      </c>
    </row>
    <row r="53" spans="1:24" ht="25.5" customHeight="1" x14ac:dyDescent="0.25">
      <c r="A53" s="90"/>
      <c r="B53" s="4">
        <v>4</v>
      </c>
      <c r="C53" s="11" t="s">
        <v>75</v>
      </c>
      <c r="D53" s="6" t="s">
        <v>27</v>
      </c>
      <c r="E53" s="5">
        <v>737717</v>
      </c>
      <c r="F53" s="5">
        <v>30</v>
      </c>
      <c r="G53" s="5">
        <f t="shared" si="32"/>
        <v>737717</v>
      </c>
      <c r="H53" s="5">
        <v>83140</v>
      </c>
      <c r="I53" s="5"/>
      <c r="J53" s="5"/>
      <c r="K53" s="5">
        <f t="shared" si="34"/>
        <v>820857</v>
      </c>
      <c r="L53" s="5">
        <f>+G53*4%</f>
        <v>29508.68</v>
      </c>
      <c r="M53" s="5">
        <v>29508</v>
      </c>
      <c r="N53" s="5"/>
      <c r="O53" s="5">
        <v>100000</v>
      </c>
      <c r="P53" s="17"/>
      <c r="Q53" s="5"/>
      <c r="R53" s="5"/>
      <c r="S53" s="5"/>
      <c r="T53" s="5">
        <f t="shared" ref="T53" si="45">SUM(L53:S53)</f>
        <v>159016.68</v>
      </c>
      <c r="U53" s="7">
        <f>+K53-T53</f>
        <v>661840.32000000007</v>
      </c>
      <c r="V53" s="7"/>
      <c r="W53" s="44"/>
      <c r="X53" s="7">
        <f t="shared" si="4"/>
        <v>661840.32000000007</v>
      </c>
    </row>
    <row r="54" spans="1:24" x14ac:dyDescent="0.25">
      <c r="A54" s="90"/>
      <c r="B54" s="4">
        <v>5</v>
      </c>
      <c r="C54" s="3" t="s">
        <v>76</v>
      </c>
      <c r="D54" s="4" t="s">
        <v>27</v>
      </c>
      <c r="E54" s="5">
        <v>1600000</v>
      </c>
      <c r="F54" s="5">
        <v>30</v>
      </c>
      <c r="G54" s="5">
        <f t="shared" si="32"/>
        <v>1600000</v>
      </c>
      <c r="H54" s="5"/>
      <c r="I54" s="5"/>
      <c r="J54" s="5"/>
      <c r="K54" s="5">
        <f t="shared" ref="K54" si="46">SUM(G54:I54)+J54</f>
        <v>1600000</v>
      </c>
      <c r="L54" s="5">
        <f>+G54*4%</f>
        <v>64000</v>
      </c>
      <c r="M54" s="5">
        <f>+G54*4%</f>
        <v>64000</v>
      </c>
      <c r="N54" s="5"/>
      <c r="O54" s="5"/>
      <c r="P54" s="5"/>
      <c r="Q54" s="5"/>
      <c r="R54" s="5"/>
      <c r="S54" s="5"/>
      <c r="T54" s="5">
        <f t="shared" si="2"/>
        <v>128000</v>
      </c>
      <c r="U54" s="7">
        <f>K54-T54</f>
        <v>1472000</v>
      </c>
      <c r="V54" s="7"/>
      <c r="W54" s="44"/>
      <c r="X54" s="7">
        <f t="shared" si="4"/>
        <v>1472000</v>
      </c>
    </row>
    <row r="55" spans="1:24" ht="18" customHeight="1" x14ac:dyDescent="0.25">
      <c r="A55" s="90"/>
      <c r="B55" s="4">
        <v>6</v>
      </c>
      <c r="C55" s="11" t="s">
        <v>77</v>
      </c>
      <c r="D55" s="6" t="s">
        <v>27</v>
      </c>
      <c r="E55" s="5">
        <v>737717</v>
      </c>
      <c r="F55" s="5">
        <v>30</v>
      </c>
      <c r="G55" s="5">
        <f t="shared" si="32"/>
        <v>737717</v>
      </c>
      <c r="H55" s="5">
        <f t="shared" ref="H55:H57" si="47">+(83140/30)*F55</f>
        <v>83140</v>
      </c>
      <c r="I55" s="5"/>
      <c r="J55" s="5"/>
      <c r="K55" s="5">
        <f t="shared" si="34"/>
        <v>820857</v>
      </c>
      <c r="L55" s="5">
        <f t="shared" ref="L55" si="48">+G55*4%</f>
        <v>29508.68</v>
      </c>
      <c r="M55" s="5">
        <f>+G55*4%</f>
        <v>29508.68</v>
      </c>
      <c r="N55" s="5"/>
      <c r="O55" s="5"/>
      <c r="P55" s="17"/>
      <c r="Q55" s="5"/>
      <c r="R55" s="5"/>
      <c r="S55" s="5"/>
      <c r="T55" s="5">
        <f t="shared" ref="T55:T109" si="49">SUM(L55:S55)</f>
        <v>59017.36</v>
      </c>
      <c r="U55" s="7">
        <f>+K55-T55</f>
        <v>761839.64</v>
      </c>
      <c r="V55" s="7"/>
      <c r="W55" s="44"/>
      <c r="X55" s="7">
        <f t="shared" si="4"/>
        <v>761839.64</v>
      </c>
    </row>
    <row r="56" spans="1:24" x14ac:dyDescent="0.25">
      <c r="A56" s="90"/>
      <c r="B56" s="4">
        <v>7</v>
      </c>
      <c r="C56" s="3" t="s">
        <v>78</v>
      </c>
      <c r="D56" s="4" t="s">
        <v>27</v>
      </c>
      <c r="E56" s="5">
        <v>1200000</v>
      </c>
      <c r="F56" s="5">
        <v>30</v>
      </c>
      <c r="G56" s="5">
        <f t="shared" si="32"/>
        <v>1200000</v>
      </c>
      <c r="H56" s="5">
        <f t="shared" si="47"/>
        <v>83140</v>
      </c>
      <c r="I56" s="5"/>
      <c r="J56" s="5"/>
      <c r="K56" s="5">
        <f t="shared" ref="K56" si="50">SUM(G56:I56)+J56</f>
        <v>1283140</v>
      </c>
      <c r="L56" s="5">
        <f>+G56*4%</f>
        <v>48000</v>
      </c>
      <c r="M56" s="5">
        <v>48000</v>
      </c>
      <c r="N56" s="5"/>
      <c r="O56" s="5"/>
      <c r="P56" s="5"/>
      <c r="Q56" s="5"/>
      <c r="R56" s="5"/>
      <c r="S56" s="5"/>
      <c r="T56" s="5">
        <f t="shared" si="49"/>
        <v>96000</v>
      </c>
      <c r="U56" s="7">
        <f>K56-T56</f>
        <v>1187140</v>
      </c>
      <c r="V56" s="7"/>
      <c r="W56" s="44"/>
      <c r="X56" s="7">
        <f t="shared" si="4"/>
        <v>1187140</v>
      </c>
    </row>
    <row r="57" spans="1:24" x14ac:dyDescent="0.25">
      <c r="A57" s="90"/>
      <c r="B57" s="4">
        <v>8</v>
      </c>
      <c r="C57" s="11" t="s">
        <v>80</v>
      </c>
      <c r="D57" s="6" t="s">
        <v>27</v>
      </c>
      <c r="E57" s="5">
        <v>737717</v>
      </c>
      <c r="F57" s="5">
        <v>30</v>
      </c>
      <c r="G57" s="5">
        <f t="shared" si="32"/>
        <v>737717</v>
      </c>
      <c r="H57" s="5">
        <f t="shared" si="47"/>
        <v>83140</v>
      </c>
      <c r="I57" s="5"/>
      <c r="J57" s="5"/>
      <c r="K57" s="5">
        <f t="shared" ref="K57:K58" si="51">SUM(G57:I57)+J57</f>
        <v>820857</v>
      </c>
      <c r="L57" s="5">
        <f t="shared" ref="L57:L58" si="52">+G57*4%</f>
        <v>29508.68</v>
      </c>
      <c r="M57" s="5">
        <f t="shared" ref="M57:M58" si="53">+G57*4%</f>
        <v>29508.68</v>
      </c>
      <c r="N57" s="5"/>
      <c r="O57" s="5">
        <v>100000</v>
      </c>
      <c r="P57" s="17"/>
      <c r="Q57" s="5"/>
      <c r="R57" s="5"/>
      <c r="S57" s="5"/>
      <c r="T57" s="5">
        <f t="shared" ref="T57:T58" si="54">SUM(L57:S57)</f>
        <v>159017.35999999999</v>
      </c>
      <c r="U57" s="7">
        <f t="shared" ref="U57:U65" si="55">+K57-T57</f>
        <v>661839.64</v>
      </c>
      <c r="V57" s="7"/>
      <c r="W57" s="44"/>
      <c r="X57" s="7">
        <f t="shared" si="4"/>
        <v>661839.64</v>
      </c>
    </row>
    <row r="58" spans="1:24" ht="24" x14ac:dyDescent="0.25">
      <c r="A58" s="90"/>
      <c r="B58" s="4">
        <v>9</v>
      </c>
      <c r="C58" s="11" t="s">
        <v>81</v>
      </c>
      <c r="D58" s="6" t="s">
        <v>27</v>
      </c>
      <c r="E58" s="5">
        <v>1100000</v>
      </c>
      <c r="F58" s="5">
        <v>30</v>
      </c>
      <c r="G58" s="5">
        <f t="shared" si="32"/>
        <v>1100000</v>
      </c>
      <c r="H58" s="5">
        <v>83140</v>
      </c>
      <c r="I58" s="5"/>
      <c r="J58" s="5"/>
      <c r="K58" s="5">
        <f t="shared" si="51"/>
        <v>1183140</v>
      </c>
      <c r="L58" s="5">
        <f t="shared" si="52"/>
        <v>44000</v>
      </c>
      <c r="M58" s="5">
        <f t="shared" si="53"/>
        <v>44000</v>
      </c>
      <c r="N58" s="5"/>
      <c r="O58" s="5">
        <v>100000</v>
      </c>
      <c r="P58" s="17"/>
      <c r="Q58" s="5"/>
      <c r="R58" s="5"/>
      <c r="S58" s="5"/>
      <c r="T58" s="5">
        <f t="shared" si="54"/>
        <v>188000</v>
      </c>
      <c r="U58" s="7">
        <f t="shared" si="55"/>
        <v>995140</v>
      </c>
      <c r="V58" s="7"/>
      <c r="W58" s="44"/>
      <c r="X58" s="7">
        <f t="shared" si="4"/>
        <v>995140</v>
      </c>
    </row>
    <row r="59" spans="1:24" ht="21.75" customHeight="1" x14ac:dyDescent="0.25">
      <c r="A59" s="90"/>
      <c r="B59" s="4">
        <v>10</v>
      </c>
      <c r="C59" s="11" t="s">
        <v>82</v>
      </c>
      <c r="D59" s="6" t="s">
        <v>27</v>
      </c>
      <c r="E59" s="5">
        <v>1450000</v>
      </c>
      <c r="F59" s="5">
        <v>30</v>
      </c>
      <c r="G59" s="5">
        <f t="shared" si="32"/>
        <v>1450000</v>
      </c>
      <c r="H59" s="5">
        <f>+(83140/30)*F59</f>
        <v>83140</v>
      </c>
      <c r="I59" s="5"/>
      <c r="J59" s="5"/>
      <c r="K59" s="5">
        <f t="shared" si="34"/>
        <v>1533140</v>
      </c>
      <c r="L59" s="5">
        <f>+G59*4%</f>
        <v>58000</v>
      </c>
      <c r="M59" s="5">
        <f>+G59*4%</f>
        <v>58000</v>
      </c>
      <c r="N59" s="5"/>
      <c r="O59" s="5">
        <v>100000</v>
      </c>
      <c r="P59" s="5">
        <v>0</v>
      </c>
      <c r="Q59" s="5"/>
      <c r="R59" s="5"/>
      <c r="S59" s="5"/>
      <c r="T59" s="5">
        <f t="shared" si="49"/>
        <v>216000</v>
      </c>
      <c r="U59" s="7">
        <f t="shared" si="55"/>
        <v>1317140</v>
      </c>
      <c r="V59" s="7"/>
      <c r="W59" s="44"/>
      <c r="X59" s="7">
        <f t="shared" si="4"/>
        <v>1317140</v>
      </c>
    </row>
    <row r="60" spans="1:24" x14ac:dyDescent="0.25">
      <c r="A60" s="90"/>
      <c r="B60" s="4">
        <v>11</v>
      </c>
      <c r="C60" s="11" t="s">
        <v>83</v>
      </c>
      <c r="D60" s="6" t="s">
        <v>27</v>
      </c>
      <c r="E60" s="5">
        <v>737717</v>
      </c>
      <c r="F60" s="5">
        <v>30</v>
      </c>
      <c r="G60" s="5">
        <f t="shared" si="32"/>
        <v>737717</v>
      </c>
      <c r="H60" s="5">
        <v>83140</v>
      </c>
      <c r="I60" s="5"/>
      <c r="J60" s="5"/>
      <c r="K60" s="5">
        <f t="shared" ref="K60" si="56">SUM(G60:I60)+J60</f>
        <v>820857</v>
      </c>
      <c r="L60" s="5">
        <f>+G60*4%</f>
        <v>29508.68</v>
      </c>
      <c r="M60" s="5">
        <f t="shared" ref="M60" si="57">+G60*4%</f>
        <v>29508.68</v>
      </c>
      <c r="N60" s="5"/>
      <c r="O60" s="5"/>
      <c r="P60" s="17"/>
      <c r="Q60" s="5"/>
      <c r="R60" s="5"/>
      <c r="S60" s="5"/>
      <c r="T60" s="5">
        <f t="shared" si="49"/>
        <v>59017.36</v>
      </c>
      <c r="U60" s="7">
        <f t="shared" si="55"/>
        <v>761839.64</v>
      </c>
      <c r="V60" s="7"/>
      <c r="W60" s="44"/>
      <c r="X60" s="7">
        <f t="shared" si="4"/>
        <v>761839.64</v>
      </c>
    </row>
    <row r="61" spans="1:24" ht="17.25" customHeight="1" x14ac:dyDescent="0.25">
      <c r="A61" s="90"/>
      <c r="B61" s="4">
        <v>12</v>
      </c>
      <c r="C61" s="11" t="s">
        <v>84</v>
      </c>
      <c r="D61" s="6" t="s">
        <v>27</v>
      </c>
      <c r="E61" s="5">
        <v>3500000</v>
      </c>
      <c r="F61" s="5">
        <v>30</v>
      </c>
      <c r="G61" s="5">
        <f>(E61/30*F61)</f>
        <v>3500000</v>
      </c>
      <c r="H61" s="5"/>
      <c r="I61" s="5">
        <v>500000</v>
      </c>
      <c r="J61" s="5"/>
      <c r="K61" s="5">
        <f t="shared" ref="K61" si="58">SUM(G61:I61)+J61</f>
        <v>4000000</v>
      </c>
      <c r="L61" s="5">
        <f t="shared" ref="L61" si="59">+G61*4%</f>
        <v>140000</v>
      </c>
      <c r="M61" s="5">
        <f>+G61*5%</f>
        <v>175000</v>
      </c>
      <c r="N61" s="5"/>
      <c r="O61" s="5"/>
      <c r="P61" s="5">
        <v>0</v>
      </c>
      <c r="Q61" s="5"/>
      <c r="R61" s="5"/>
      <c r="S61" s="5"/>
      <c r="T61" s="5">
        <f t="shared" ref="T61" si="60">SUM(L61:S61)</f>
        <v>315000</v>
      </c>
      <c r="U61" s="7">
        <f t="shared" si="55"/>
        <v>3685000</v>
      </c>
      <c r="V61" s="7"/>
      <c r="W61" s="44"/>
      <c r="X61" s="7">
        <f t="shared" si="4"/>
        <v>3685000</v>
      </c>
    </row>
    <row r="62" spans="1:24" ht="17.25" customHeight="1" x14ac:dyDescent="0.25">
      <c r="A62" s="90"/>
      <c r="B62" s="4">
        <v>13</v>
      </c>
      <c r="C62" s="11" t="s">
        <v>85</v>
      </c>
      <c r="D62" s="6" t="s">
        <v>27</v>
      </c>
      <c r="E62" s="5">
        <v>2500000</v>
      </c>
      <c r="F62" s="5">
        <v>30</v>
      </c>
      <c r="G62" s="5">
        <f t="shared" si="32"/>
        <v>2500000</v>
      </c>
      <c r="H62" s="5">
        <v>234375</v>
      </c>
      <c r="I62" s="5"/>
      <c r="J62" s="5"/>
      <c r="K62" s="5">
        <f t="shared" si="34"/>
        <v>2734375</v>
      </c>
      <c r="L62" s="5">
        <f>+G62*4%</f>
        <v>100000</v>
      </c>
      <c r="M62" s="5">
        <f>+G62*4%</f>
        <v>100000</v>
      </c>
      <c r="N62" s="5"/>
      <c r="O62" s="5"/>
      <c r="P62" s="5">
        <v>0</v>
      </c>
      <c r="Q62" s="5"/>
      <c r="R62" s="5"/>
      <c r="S62" s="5">
        <v>200210</v>
      </c>
      <c r="T62" s="5">
        <f t="shared" si="49"/>
        <v>400210</v>
      </c>
      <c r="U62" s="7">
        <f t="shared" si="55"/>
        <v>2334165</v>
      </c>
      <c r="V62" s="7"/>
      <c r="W62" s="44"/>
      <c r="X62" s="7">
        <f t="shared" si="4"/>
        <v>2334165</v>
      </c>
    </row>
    <row r="63" spans="1:24" ht="17.25" customHeight="1" x14ac:dyDescent="0.25">
      <c r="A63" s="90"/>
      <c r="B63" s="4">
        <v>14</v>
      </c>
      <c r="C63" s="11" t="s">
        <v>86</v>
      </c>
      <c r="D63" s="6" t="s">
        <v>27</v>
      </c>
      <c r="E63" s="5">
        <v>1200000</v>
      </c>
      <c r="F63" s="5">
        <v>30</v>
      </c>
      <c r="G63" s="5">
        <f>E63/30*F63</f>
        <v>1200000</v>
      </c>
      <c r="H63" s="5">
        <f>+(83140/30)*F63</f>
        <v>83140</v>
      </c>
      <c r="I63" s="5"/>
      <c r="J63" s="5">
        <f>+E63-G63</f>
        <v>0</v>
      </c>
      <c r="K63" s="5">
        <f t="shared" ref="K63" si="61">SUM(G63:I63)+J63</f>
        <v>1283140</v>
      </c>
      <c r="L63" s="5">
        <v>48000</v>
      </c>
      <c r="M63" s="5">
        <v>48000</v>
      </c>
      <c r="N63" s="5"/>
      <c r="O63" s="5"/>
      <c r="P63" s="5">
        <v>0</v>
      </c>
      <c r="Q63" s="5"/>
      <c r="R63" s="5"/>
      <c r="S63" s="5"/>
      <c r="T63" s="5">
        <f t="shared" ref="T63:T64" si="62">SUM(L63:S63)</f>
        <v>96000</v>
      </c>
      <c r="U63" s="7">
        <f t="shared" si="55"/>
        <v>1187140</v>
      </c>
      <c r="V63" s="7"/>
      <c r="W63" s="44"/>
      <c r="X63" s="7">
        <f t="shared" si="4"/>
        <v>1187140</v>
      </c>
    </row>
    <row r="64" spans="1:24" ht="17.25" customHeight="1" x14ac:dyDescent="0.25">
      <c r="A64" s="90"/>
      <c r="B64" s="4">
        <v>15</v>
      </c>
      <c r="C64" s="11" t="s">
        <v>87</v>
      </c>
      <c r="D64" s="6" t="s">
        <v>27</v>
      </c>
      <c r="E64" s="5">
        <v>900000</v>
      </c>
      <c r="F64" s="5">
        <v>30</v>
      </c>
      <c r="G64" s="5">
        <f>E64/30*F64</f>
        <v>900000</v>
      </c>
      <c r="H64" s="5">
        <f>+(83140/30)*F64</f>
        <v>83140</v>
      </c>
      <c r="I64" s="5"/>
      <c r="J64" s="5"/>
      <c r="K64" s="5">
        <f t="shared" ref="K64" si="63">SUM(G64:I64)+J64</f>
        <v>983140</v>
      </c>
      <c r="L64" s="5">
        <f>+G64*4%</f>
        <v>36000</v>
      </c>
      <c r="M64" s="5">
        <f t="shared" ref="M64" si="64">+G64*4%</f>
        <v>36000</v>
      </c>
      <c r="N64" s="5"/>
      <c r="O64" s="5"/>
      <c r="P64" s="5">
        <v>0</v>
      </c>
      <c r="Q64" s="5"/>
      <c r="R64" s="5"/>
      <c r="S64" s="5"/>
      <c r="T64" s="5">
        <f t="shared" si="62"/>
        <v>72000</v>
      </c>
      <c r="U64" s="7">
        <f t="shared" si="55"/>
        <v>911140</v>
      </c>
      <c r="V64" s="7"/>
      <c r="W64" s="44"/>
      <c r="X64" s="7">
        <f t="shared" si="4"/>
        <v>911140</v>
      </c>
    </row>
    <row r="65" spans="1:27" ht="24" x14ac:dyDescent="0.25">
      <c r="A65" s="90"/>
      <c r="B65" s="4">
        <v>16</v>
      </c>
      <c r="C65" s="11" t="s">
        <v>88</v>
      </c>
      <c r="D65" s="6" t="s">
        <v>27</v>
      </c>
      <c r="E65" s="5">
        <v>2000000</v>
      </c>
      <c r="F65" s="5">
        <v>30</v>
      </c>
      <c r="G65" s="5">
        <f>E65/30*F65</f>
        <v>2000000.0000000002</v>
      </c>
      <c r="H65" s="5"/>
      <c r="I65" s="5"/>
      <c r="J65" s="5">
        <f>+E65-G65</f>
        <v>0</v>
      </c>
      <c r="K65" s="5">
        <f t="shared" si="34"/>
        <v>2000000.0000000002</v>
      </c>
      <c r="L65" s="5">
        <f>+G65*4%</f>
        <v>80000.000000000015</v>
      </c>
      <c r="M65" s="5">
        <v>80000</v>
      </c>
      <c r="N65" s="5"/>
      <c r="O65" s="5"/>
      <c r="P65" s="5">
        <v>0</v>
      </c>
      <c r="Q65" s="5"/>
      <c r="R65" s="5"/>
      <c r="S65" s="5"/>
      <c r="T65" s="5">
        <f t="shared" si="49"/>
        <v>160000</v>
      </c>
      <c r="U65" s="7">
        <f t="shared" si="55"/>
        <v>1840000.0000000002</v>
      </c>
      <c r="V65" s="7"/>
      <c r="W65" s="44"/>
      <c r="X65" s="7">
        <f t="shared" si="4"/>
        <v>1840000.0000000002</v>
      </c>
    </row>
    <row r="66" spans="1:27" x14ac:dyDescent="0.25">
      <c r="A66" s="90"/>
      <c r="B66" s="4">
        <v>17</v>
      </c>
      <c r="C66" s="3" t="s">
        <v>89</v>
      </c>
      <c r="D66" s="4" t="s">
        <v>27</v>
      </c>
      <c r="E66" s="5">
        <v>3500000</v>
      </c>
      <c r="F66" s="5">
        <v>30</v>
      </c>
      <c r="G66" s="5">
        <f>+E66/30*F66</f>
        <v>3500000</v>
      </c>
      <c r="H66" s="5">
        <v>82031</v>
      </c>
      <c r="I66" s="5"/>
      <c r="J66" s="5"/>
      <c r="K66" s="5">
        <f t="shared" si="34"/>
        <v>3582031</v>
      </c>
      <c r="L66" s="5">
        <v>140000</v>
      </c>
      <c r="M66" s="5">
        <v>175000</v>
      </c>
      <c r="N66" s="5"/>
      <c r="O66" s="5">
        <v>100000</v>
      </c>
      <c r="P66" s="5">
        <v>0</v>
      </c>
      <c r="Q66" s="5"/>
      <c r="R66" s="5"/>
      <c r="S66" s="5"/>
      <c r="T66" s="5">
        <f t="shared" si="49"/>
        <v>415000</v>
      </c>
      <c r="U66" s="7">
        <f t="shared" ref="U66:U76" si="65">K66-T66</f>
        <v>3167031</v>
      </c>
      <c r="V66" s="7"/>
      <c r="W66" s="44"/>
      <c r="X66" s="7">
        <f t="shared" si="4"/>
        <v>3167031</v>
      </c>
    </row>
    <row r="67" spans="1:27" x14ac:dyDescent="0.25">
      <c r="A67" s="90"/>
      <c r="B67" s="4">
        <v>18</v>
      </c>
      <c r="C67" s="11" t="s">
        <v>90</v>
      </c>
      <c r="D67" s="6" t="s">
        <v>27</v>
      </c>
      <c r="E67" s="5">
        <v>4000000</v>
      </c>
      <c r="F67" s="5">
        <v>30</v>
      </c>
      <c r="G67" s="5">
        <f>+E67/30*F67</f>
        <v>4000000.0000000005</v>
      </c>
      <c r="H67" s="5">
        <v>281250</v>
      </c>
      <c r="I67" s="5">
        <v>300000</v>
      </c>
      <c r="J67" s="5">
        <f>+E67-G67</f>
        <v>0</v>
      </c>
      <c r="K67" s="5">
        <f t="shared" si="34"/>
        <v>4581250</v>
      </c>
      <c r="L67" s="5">
        <v>160000</v>
      </c>
      <c r="M67" s="5">
        <v>200000</v>
      </c>
      <c r="N67" s="5"/>
      <c r="O67" s="5">
        <v>100000</v>
      </c>
      <c r="P67" s="5">
        <v>3000</v>
      </c>
      <c r="Q67" s="5"/>
      <c r="R67" s="5"/>
      <c r="S67" s="5">
        <v>766228</v>
      </c>
      <c r="T67" s="5">
        <f t="shared" si="49"/>
        <v>1229228</v>
      </c>
      <c r="U67" s="7">
        <f t="shared" si="65"/>
        <v>3352022</v>
      </c>
      <c r="V67" s="7"/>
      <c r="W67" s="44"/>
      <c r="X67" s="7">
        <f t="shared" si="4"/>
        <v>3352022</v>
      </c>
    </row>
    <row r="68" spans="1:27" x14ac:dyDescent="0.25">
      <c r="A68" s="90"/>
      <c r="B68" s="4">
        <v>19</v>
      </c>
      <c r="C68" s="11" t="s">
        <v>91</v>
      </c>
      <c r="D68" s="6" t="s">
        <v>27</v>
      </c>
      <c r="E68" s="5">
        <v>737717</v>
      </c>
      <c r="F68" s="5">
        <v>30</v>
      </c>
      <c r="G68" s="5">
        <f>+E68/30*F68</f>
        <v>737717</v>
      </c>
      <c r="H68" s="5"/>
      <c r="I68" s="5"/>
      <c r="J68" s="5"/>
      <c r="K68" s="5">
        <f t="shared" si="34"/>
        <v>737717</v>
      </c>
      <c r="L68" s="5"/>
      <c r="M68" s="5"/>
      <c r="N68" s="5"/>
      <c r="O68" s="5"/>
      <c r="P68" s="5"/>
      <c r="Q68" s="5"/>
      <c r="R68" s="5"/>
      <c r="S68" s="5"/>
      <c r="T68" s="5">
        <f t="shared" si="49"/>
        <v>0</v>
      </c>
      <c r="U68" s="7">
        <f t="shared" si="65"/>
        <v>737717</v>
      </c>
      <c r="V68" s="7"/>
      <c r="W68" s="44"/>
      <c r="X68" s="7">
        <f t="shared" ref="X68:X109" si="66">U68+V68-W68</f>
        <v>737717</v>
      </c>
    </row>
    <row r="69" spans="1:27" ht="17.25" customHeight="1" x14ac:dyDescent="0.25">
      <c r="A69" s="90"/>
      <c r="B69" s="4">
        <v>20</v>
      </c>
      <c r="C69" s="11" t="s">
        <v>92</v>
      </c>
      <c r="D69" s="6" t="s">
        <v>27</v>
      </c>
      <c r="E69" s="5">
        <v>3500000</v>
      </c>
      <c r="F69" s="5">
        <v>30</v>
      </c>
      <c r="G69" s="5">
        <f>E69/30*F69</f>
        <v>3500000</v>
      </c>
      <c r="H69" s="5"/>
      <c r="I69" s="5"/>
      <c r="J69" s="5">
        <f>+E69-G69</f>
        <v>0</v>
      </c>
      <c r="K69" s="5">
        <f t="shared" si="34"/>
        <v>3500000</v>
      </c>
      <c r="L69" s="5">
        <v>140000</v>
      </c>
      <c r="M69" s="5">
        <v>175000</v>
      </c>
      <c r="N69" s="5"/>
      <c r="O69" s="5">
        <v>100000</v>
      </c>
      <c r="P69" s="5">
        <v>0</v>
      </c>
      <c r="Q69" s="5"/>
      <c r="R69" s="5"/>
      <c r="S69" s="5">
        <v>322019</v>
      </c>
      <c r="T69" s="5">
        <f t="shared" si="49"/>
        <v>737019</v>
      </c>
      <c r="U69" s="7">
        <f t="shared" si="65"/>
        <v>2762981</v>
      </c>
      <c r="V69" s="7"/>
      <c r="W69" s="44"/>
      <c r="X69" s="7">
        <f t="shared" si="66"/>
        <v>2762981</v>
      </c>
    </row>
    <row r="70" spans="1:27" ht="17.25" customHeight="1" x14ac:dyDescent="0.25">
      <c r="A70" s="90"/>
      <c r="B70" s="4">
        <v>21</v>
      </c>
      <c r="C70" s="11" t="s">
        <v>93</v>
      </c>
      <c r="D70" s="6" t="s">
        <v>27</v>
      </c>
      <c r="E70" s="5">
        <v>1200000</v>
      </c>
      <c r="F70" s="5">
        <v>30</v>
      </c>
      <c r="G70" s="5">
        <f>+E70/30*F70</f>
        <v>1200000</v>
      </c>
      <c r="H70" s="5">
        <f>+(83140/30)*F70</f>
        <v>83140</v>
      </c>
      <c r="I70" s="5"/>
      <c r="J70" s="5"/>
      <c r="K70" s="5">
        <f t="shared" ref="K70:K73" si="67">SUM(G70:I70)+J70</f>
        <v>1283140</v>
      </c>
      <c r="L70" s="5">
        <f>+G70*4%</f>
        <v>48000</v>
      </c>
      <c r="M70" s="5">
        <f>+G70*4%</f>
        <v>48000</v>
      </c>
      <c r="N70" s="5"/>
      <c r="O70" s="5"/>
      <c r="P70" s="5"/>
      <c r="Q70" s="5"/>
      <c r="R70" s="5"/>
      <c r="S70" s="5"/>
      <c r="T70" s="5">
        <f t="shared" ref="T70:T73" si="68">SUM(L70:S70)</f>
        <v>96000</v>
      </c>
      <c r="U70" s="7">
        <f t="shared" si="65"/>
        <v>1187140</v>
      </c>
      <c r="V70" s="7"/>
      <c r="W70" s="44"/>
      <c r="X70" s="7">
        <f t="shared" si="66"/>
        <v>1187140</v>
      </c>
    </row>
    <row r="71" spans="1:27" ht="17.25" customHeight="1" x14ac:dyDescent="0.25">
      <c r="A71" s="90"/>
      <c r="B71" s="4">
        <v>22</v>
      </c>
      <c r="C71" s="11" t="s">
        <v>94</v>
      </c>
      <c r="D71" s="6"/>
      <c r="E71" s="5">
        <v>1030410</v>
      </c>
      <c r="F71" s="5">
        <v>30</v>
      </c>
      <c r="G71" s="5">
        <f>+E71/30*F71</f>
        <v>1030410</v>
      </c>
      <c r="H71" s="5">
        <f>+(83140/30)*F71</f>
        <v>83140</v>
      </c>
      <c r="I71" s="5"/>
      <c r="J71" s="5"/>
      <c r="K71" s="5">
        <f t="shared" ref="K71" si="69">SUM(G71:I71)+J71</f>
        <v>1113550</v>
      </c>
      <c r="L71" s="5">
        <f>+G71*4%</f>
        <v>41216.400000000001</v>
      </c>
      <c r="M71" s="5">
        <f>+G71*4%</f>
        <v>41216.400000000001</v>
      </c>
      <c r="N71" s="5"/>
      <c r="O71" s="5">
        <v>100000</v>
      </c>
      <c r="P71" s="5"/>
      <c r="Q71" s="5"/>
      <c r="R71" s="5"/>
      <c r="S71" s="5"/>
      <c r="T71" s="5">
        <f t="shared" si="68"/>
        <v>182432.8</v>
      </c>
      <c r="U71" s="7">
        <f t="shared" si="65"/>
        <v>931117.2</v>
      </c>
      <c r="V71" s="7"/>
      <c r="W71" s="44"/>
      <c r="X71" s="7">
        <f t="shared" si="66"/>
        <v>931117.2</v>
      </c>
    </row>
    <row r="72" spans="1:27" x14ac:dyDescent="0.25">
      <c r="A72" s="90"/>
      <c r="B72" s="4">
        <v>23</v>
      </c>
      <c r="C72" s="3" t="s">
        <v>96</v>
      </c>
      <c r="D72" s="4"/>
      <c r="E72" s="5">
        <v>4000000</v>
      </c>
      <c r="F72" s="5">
        <v>30</v>
      </c>
      <c r="G72" s="5">
        <f t="shared" ref="G72" si="70">+E72/30*F72</f>
        <v>4000000.0000000005</v>
      </c>
      <c r="H72" s="5"/>
      <c r="I72" s="5"/>
      <c r="J72" s="5"/>
      <c r="K72" s="5">
        <f t="shared" ref="K72" si="71">SUM(G72:I72)+J72</f>
        <v>4000000.0000000005</v>
      </c>
      <c r="L72" s="5">
        <f>+G72*4%</f>
        <v>160000.00000000003</v>
      </c>
      <c r="M72" s="5">
        <f>+G72*5%</f>
        <v>200000.00000000003</v>
      </c>
      <c r="N72" s="5"/>
      <c r="O72" s="5"/>
      <c r="P72" s="5"/>
      <c r="Q72" s="5"/>
      <c r="R72" s="5"/>
      <c r="S72" s="5"/>
      <c r="T72" s="5">
        <f t="shared" ref="T72" si="72">SUM(L72:S72)</f>
        <v>360000.00000000006</v>
      </c>
      <c r="U72" s="7">
        <f t="shared" ref="U72" si="73">+K72-T72</f>
        <v>3640000.0000000005</v>
      </c>
      <c r="V72" s="7"/>
      <c r="W72" s="44"/>
      <c r="X72" s="7">
        <f t="shared" si="66"/>
        <v>3640000.0000000005</v>
      </c>
    </row>
    <row r="73" spans="1:27" ht="17.25" customHeight="1" x14ac:dyDescent="0.25">
      <c r="A73" s="90"/>
      <c r="B73" s="4">
        <v>24</v>
      </c>
      <c r="C73" s="11" t="s">
        <v>97</v>
      </c>
      <c r="D73" s="6" t="s">
        <v>27</v>
      </c>
      <c r="E73" s="5">
        <v>900000</v>
      </c>
      <c r="F73" s="5">
        <v>16</v>
      </c>
      <c r="G73" s="5">
        <f>E73/30*F73</f>
        <v>480000</v>
      </c>
      <c r="H73" s="5">
        <f>+(83140/30)*F73</f>
        <v>44341.333333333336</v>
      </c>
      <c r="I73" s="5"/>
      <c r="J73" s="5"/>
      <c r="K73" s="5">
        <f t="shared" si="67"/>
        <v>524341.33333333337</v>
      </c>
      <c r="L73" s="5">
        <f>+G73*4%</f>
        <v>19200</v>
      </c>
      <c r="M73" s="5">
        <f>+G73*4%</f>
        <v>19200</v>
      </c>
      <c r="N73" s="5"/>
      <c r="O73" s="5"/>
      <c r="P73" s="5"/>
      <c r="Q73" s="5"/>
      <c r="R73" s="5"/>
      <c r="S73" s="5"/>
      <c r="T73" s="5">
        <f t="shared" si="68"/>
        <v>38400</v>
      </c>
      <c r="U73" s="7">
        <f>K73-T73</f>
        <v>485941.33333333337</v>
      </c>
      <c r="V73" s="7"/>
      <c r="W73" s="44"/>
      <c r="X73" s="7">
        <f t="shared" si="66"/>
        <v>485941.33333333337</v>
      </c>
    </row>
    <row r="74" spans="1:27" ht="15.75" customHeight="1" x14ac:dyDescent="0.25">
      <c r="A74" s="90"/>
      <c r="B74" s="4">
        <v>25</v>
      </c>
      <c r="C74" s="11" t="s">
        <v>98</v>
      </c>
      <c r="D74" s="6" t="s">
        <v>27</v>
      </c>
      <c r="E74" s="5">
        <v>2000000</v>
      </c>
      <c r="F74" s="5">
        <v>30</v>
      </c>
      <c r="G74" s="5">
        <f>(E74/30*F74)</f>
        <v>2000000.0000000002</v>
      </c>
      <c r="H74" s="5">
        <v>140625</v>
      </c>
      <c r="I74" s="5"/>
      <c r="J74" s="5">
        <f>+E74-G74</f>
        <v>0</v>
      </c>
      <c r="K74" s="5">
        <f t="shared" si="34"/>
        <v>2140625</v>
      </c>
      <c r="L74" s="5">
        <v>80000</v>
      </c>
      <c r="M74" s="5">
        <v>80000</v>
      </c>
      <c r="N74" s="5"/>
      <c r="O74" s="5"/>
      <c r="P74" s="5">
        <v>0</v>
      </c>
      <c r="Q74" s="5"/>
      <c r="R74" s="5"/>
      <c r="S74" s="5">
        <v>254624</v>
      </c>
      <c r="T74" s="5">
        <f t="shared" si="49"/>
        <v>414624</v>
      </c>
      <c r="U74" s="7">
        <f t="shared" si="65"/>
        <v>1726001</v>
      </c>
      <c r="V74" s="7"/>
      <c r="W74" s="44"/>
      <c r="X74" s="7">
        <f t="shared" si="66"/>
        <v>1726001</v>
      </c>
      <c r="AA74" s="45">
        <f>1196000+644000</f>
        <v>1840000</v>
      </c>
    </row>
    <row r="75" spans="1:27" ht="15.75" customHeight="1" x14ac:dyDescent="0.25">
      <c r="A75" s="90"/>
      <c r="B75" s="4">
        <v>26</v>
      </c>
      <c r="C75" s="11" t="s">
        <v>99</v>
      </c>
      <c r="D75" s="6" t="s">
        <v>27</v>
      </c>
      <c r="E75" s="5">
        <v>2000000</v>
      </c>
      <c r="F75" s="5">
        <v>27</v>
      </c>
      <c r="G75" s="5">
        <f>(E75/30*F75)</f>
        <v>1800000.0000000002</v>
      </c>
      <c r="H75" s="5">
        <v>133341</v>
      </c>
      <c r="I75" s="5"/>
      <c r="J75" s="5">
        <v>349200</v>
      </c>
      <c r="K75" s="5">
        <f t="shared" ref="K75" si="74">SUM(G75:I75)+J75</f>
        <v>2282541</v>
      </c>
      <c r="L75" s="5">
        <v>80000</v>
      </c>
      <c r="M75" s="5">
        <v>80000</v>
      </c>
      <c r="N75" s="5"/>
      <c r="O75" s="5"/>
      <c r="P75" s="5">
        <v>34920</v>
      </c>
      <c r="Q75" s="5"/>
      <c r="R75" s="5"/>
      <c r="S75" s="5"/>
      <c r="T75" s="5">
        <f t="shared" ref="T75" si="75">SUM(L75:S75)</f>
        <v>194920</v>
      </c>
      <c r="U75" s="7">
        <f t="shared" si="65"/>
        <v>2087621</v>
      </c>
      <c r="V75" s="7"/>
      <c r="W75" s="44"/>
      <c r="X75" s="7">
        <f t="shared" si="66"/>
        <v>2087621</v>
      </c>
    </row>
    <row r="76" spans="1:27" x14ac:dyDescent="0.25">
      <c r="A76" s="90"/>
      <c r="B76" s="4">
        <v>27</v>
      </c>
      <c r="C76" s="3" t="s">
        <v>101</v>
      </c>
      <c r="D76" s="4" t="s">
        <v>27</v>
      </c>
      <c r="E76" s="5">
        <v>737717</v>
      </c>
      <c r="F76" s="5">
        <v>30</v>
      </c>
      <c r="G76" s="5">
        <f>(E76/30*F76)</f>
        <v>737717</v>
      </c>
      <c r="H76" s="5"/>
      <c r="I76" s="5"/>
      <c r="J76" s="5"/>
      <c r="K76" s="5">
        <f t="shared" si="34"/>
        <v>737717</v>
      </c>
      <c r="L76" s="5"/>
      <c r="M76" s="5"/>
      <c r="N76" s="5"/>
      <c r="O76" s="5"/>
      <c r="P76" s="5"/>
      <c r="Q76" s="5"/>
      <c r="R76" s="5"/>
      <c r="S76" s="5"/>
      <c r="T76" s="5">
        <f t="shared" si="49"/>
        <v>0</v>
      </c>
      <c r="U76" s="7">
        <f t="shared" si="65"/>
        <v>737717</v>
      </c>
      <c r="V76" s="7"/>
      <c r="W76" s="44"/>
      <c r="X76" s="7">
        <f t="shared" si="66"/>
        <v>737717</v>
      </c>
      <c r="AA76" s="45">
        <f>1840000-1196000</f>
        <v>644000</v>
      </c>
    </row>
    <row r="77" spans="1:27" ht="20.25" customHeight="1" x14ac:dyDescent="0.25">
      <c r="A77" s="90"/>
      <c r="B77" s="4">
        <v>28</v>
      </c>
      <c r="C77" s="11" t="s">
        <v>103</v>
      </c>
      <c r="D77" s="6" t="s">
        <v>27</v>
      </c>
      <c r="E77" s="5">
        <v>3500000</v>
      </c>
      <c r="F77" s="5">
        <v>30</v>
      </c>
      <c r="G77" s="5">
        <f t="shared" ref="G77:G81" si="76">+E77/30*F77</f>
        <v>3500000</v>
      </c>
      <c r="H77" s="5"/>
      <c r="I77" s="5"/>
      <c r="J77" s="5">
        <f>+E77-G77</f>
        <v>0</v>
      </c>
      <c r="K77" s="5">
        <f t="shared" si="34"/>
        <v>3500000</v>
      </c>
      <c r="L77" s="5">
        <v>140000</v>
      </c>
      <c r="M77" s="5">
        <v>175000</v>
      </c>
      <c r="N77" s="5"/>
      <c r="O77" s="5"/>
      <c r="P77" s="5">
        <v>0</v>
      </c>
      <c r="Q77" s="5"/>
      <c r="R77" s="5"/>
      <c r="S77" s="5">
        <v>996534</v>
      </c>
      <c r="T77" s="5">
        <f t="shared" si="49"/>
        <v>1311534</v>
      </c>
      <c r="U77" s="7">
        <f t="shared" ref="U77:U85" si="77">+K77-T77</f>
        <v>2188466</v>
      </c>
      <c r="V77" s="7"/>
      <c r="W77" s="44"/>
      <c r="X77" s="7">
        <f t="shared" si="66"/>
        <v>2188466</v>
      </c>
    </row>
    <row r="78" spans="1:27" x14ac:dyDescent="0.25">
      <c r="A78" s="90"/>
      <c r="B78" s="4">
        <v>29</v>
      </c>
      <c r="C78" s="11" t="s">
        <v>105</v>
      </c>
      <c r="D78" s="6" t="s">
        <v>27</v>
      </c>
      <c r="E78" s="5">
        <v>4000000</v>
      </c>
      <c r="F78" s="5">
        <v>30</v>
      </c>
      <c r="G78" s="5">
        <f t="shared" si="76"/>
        <v>4000000.0000000005</v>
      </c>
      <c r="H78" s="5"/>
      <c r="I78" s="5"/>
      <c r="J78" s="5"/>
      <c r="K78" s="5">
        <f t="shared" si="34"/>
        <v>4000000.0000000005</v>
      </c>
      <c r="L78" s="5">
        <v>160000</v>
      </c>
      <c r="M78" s="5">
        <v>200000</v>
      </c>
      <c r="N78" s="5"/>
      <c r="O78" s="5"/>
      <c r="P78" s="5">
        <v>3000</v>
      </c>
      <c r="Q78" s="5"/>
      <c r="R78" s="5"/>
      <c r="S78" s="5"/>
      <c r="T78" s="5">
        <f t="shared" si="49"/>
        <v>363000</v>
      </c>
      <c r="U78" s="7">
        <f t="shared" si="77"/>
        <v>3637000.0000000005</v>
      </c>
      <c r="V78" s="7"/>
      <c r="W78" s="44"/>
      <c r="X78" s="7">
        <f t="shared" si="66"/>
        <v>3637000.0000000005</v>
      </c>
      <c r="Y78" s="45" t="s">
        <v>106</v>
      </c>
    </row>
    <row r="79" spans="1:27" x14ac:dyDescent="0.25">
      <c r="A79" s="90"/>
      <c r="B79" s="4">
        <v>30</v>
      </c>
      <c r="C79" s="11" t="s">
        <v>107</v>
      </c>
      <c r="D79" s="6" t="s">
        <v>27</v>
      </c>
      <c r="E79" s="5">
        <v>900000</v>
      </c>
      <c r="F79" s="5">
        <v>30</v>
      </c>
      <c r="G79" s="5">
        <f>+E79/30*F79</f>
        <v>900000</v>
      </c>
      <c r="H79" s="5">
        <f>+(83140/30)*F79</f>
        <v>83140</v>
      </c>
      <c r="I79" s="5"/>
      <c r="J79" s="5"/>
      <c r="K79" s="5">
        <f t="shared" ref="K79" si="78">SUM(G79:I79)+J79</f>
        <v>983140</v>
      </c>
      <c r="L79" s="5">
        <f>+G79*4%</f>
        <v>36000</v>
      </c>
      <c r="M79" s="5">
        <f>+G79*4%</f>
        <v>36000</v>
      </c>
      <c r="N79" s="5"/>
      <c r="O79" s="5">
        <v>100000</v>
      </c>
      <c r="P79" s="5">
        <v>0</v>
      </c>
      <c r="Q79" s="5"/>
      <c r="R79" s="5"/>
      <c r="S79" s="5"/>
      <c r="T79" s="5">
        <f t="shared" ref="T79" si="79">SUM(L79:S79)</f>
        <v>172000</v>
      </c>
      <c r="U79" s="7">
        <f t="shared" si="77"/>
        <v>811140</v>
      </c>
      <c r="V79" s="7"/>
      <c r="W79" s="44"/>
      <c r="X79" s="7">
        <f t="shared" si="66"/>
        <v>811140</v>
      </c>
      <c r="Y79" s="45" t="s">
        <v>106</v>
      </c>
    </row>
    <row r="80" spans="1:27" x14ac:dyDescent="0.25">
      <c r="A80" s="90"/>
      <c r="B80" s="4">
        <v>31</v>
      </c>
      <c r="C80" s="11" t="s">
        <v>108</v>
      </c>
      <c r="D80" s="6" t="s">
        <v>27</v>
      </c>
      <c r="E80" s="5">
        <v>3000000</v>
      </c>
      <c r="F80" s="5">
        <v>30</v>
      </c>
      <c r="G80" s="5">
        <f t="shared" si="76"/>
        <v>3000000</v>
      </c>
      <c r="H80" s="5"/>
      <c r="I80" s="5"/>
      <c r="J80" s="5"/>
      <c r="K80" s="5">
        <f t="shared" si="34"/>
        <v>3000000</v>
      </c>
      <c r="L80" s="5">
        <f>+E80*4%</f>
        <v>120000</v>
      </c>
      <c r="M80" s="5">
        <f>+E80*5%</f>
        <v>150000</v>
      </c>
      <c r="N80" s="5"/>
      <c r="O80" s="5"/>
      <c r="P80" s="17">
        <v>0</v>
      </c>
      <c r="Q80" s="5"/>
      <c r="R80" s="5"/>
      <c r="S80" s="5">
        <v>586000</v>
      </c>
      <c r="T80" s="5">
        <f t="shared" si="49"/>
        <v>856000</v>
      </c>
      <c r="U80" s="7">
        <f t="shared" si="77"/>
        <v>2144000</v>
      </c>
      <c r="V80" s="7"/>
      <c r="W80" s="44"/>
      <c r="X80" s="7">
        <f t="shared" si="66"/>
        <v>2144000</v>
      </c>
    </row>
    <row r="81" spans="1:24" x14ac:dyDescent="0.25">
      <c r="A81" s="90"/>
      <c r="B81" s="4">
        <v>32</v>
      </c>
      <c r="C81" s="11" t="s">
        <v>109</v>
      </c>
      <c r="D81" s="6"/>
      <c r="E81" s="5">
        <v>4500000</v>
      </c>
      <c r="F81" s="5">
        <v>30</v>
      </c>
      <c r="G81" s="5">
        <f t="shared" si="76"/>
        <v>4500000</v>
      </c>
      <c r="H81" s="5"/>
      <c r="I81" s="5"/>
      <c r="J81" s="5"/>
      <c r="K81" s="5">
        <f t="shared" ref="K81" si="80">SUM(G81:I81)+J81</f>
        <v>4500000</v>
      </c>
      <c r="L81" s="5">
        <f>+G81*4%</f>
        <v>180000</v>
      </c>
      <c r="M81" s="5">
        <f>+G81*5%</f>
        <v>225000</v>
      </c>
      <c r="N81" s="5"/>
      <c r="O81" s="5">
        <v>100000</v>
      </c>
      <c r="P81" s="17">
        <v>72000</v>
      </c>
      <c r="Q81" s="5"/>
      <c r="R81" s="5"/>
      <c r="S81" s="5"/>
      <c r="T81" s="5">
        <f t="shared" ref="T81:T82" si="81">SUM(L81:S81)</f>
        <v>577000</v>
      </c>
      <c r="U81" s="7">
        <f t="shared" si="77"/>
        <v>3923000</v>
      </c>
      <c r="V81" s="7"/>
      <c r="W81" s="44"/>
      <c r="X81" s="7">
        <f t="shared" si="66"/>
        <v>3923000</v>
      </c>
    </row>
    <row r="82" spans="1:24" ht="24" x14ac:dyDescent="0.25">
      <c r="A82" s="90"/>
      <c r="B82" s="4">
        <v>33</v>
      </c>
      <c r="C82" s="11" t="s">
        <v>110</v>
      </c>
      <c r="D82" s="6" t="s">
        <v>27</v>
      </c>
      <c r="E82" s="5">
        <v>900000</v>
      </c>
      <c r="F82" s="5">
        <v>30</v>
      </c>
      <c r="G82" s="5">
        <f>+E82/30*F82</f>
        <v>900000</v>
      </c>
      <c r="H82" s="5">
        <f>+(83140/30)*F82</f>
        <v>83140</v>
      </c>
      <c r="I82" s="5"/>
      <c r="J82" s="5"/>
      <c r="K82" s="5">
        <f t="shared" ref="K82" si="82">SUM(G82:I82)+J82</f>
        <v>983140</v>
      </c>
      <c r="L82" s="5">
        <f>+G82*4%</f>
        <v>36000</v>
      </c>
      <c r="M82" s="5">
        <f>+G82*4%</f>
        <v>36000</v>
      </c>
      <c r="N82" s="5"/>
      <c r="O82" s="5">
        <v>100000</v>
      </c>
      <c r="P82" s="17">
        <v>0</v>
      </c>
      <c r="Q82" s="5"/>
      <c r="R82" s="5"/>
      <c r="S82" s="5"/>
      <c r="T82" s="5">
        <f t="shared" si="81"/>
        <v>172000</v>
      </c>
      <c r="U82" s="7">
        <f t="shared" si="77"/>
        <v>811140</v>
      </c>
      <c r="V82" s="7"/>
      <c r="W82" s="44"/>
      <c r="X82" s="7">
        <f t="shared" si="66"/>
        <v>811140</v>
      </c>
    </row>
    <row r="83" spans="1:24" x14ac:dyDescent="0.25">
      <c r="A83" s="90"/>
      <c r="B83" s="4">
        <v>34</v>
      </c>
      <c r="C83" s="11" t="s">
        <v>150</v>
      </c>
      <c r="D83" s="6"/>
      <c r="E83" s="5">
        <v>2000000</v>
      </c>
      <c r="F83" s="5">
        <v>24</v>
      </c>
      <c r="G83" s="5">
        <f>+E83/30*F83</f>
        <v>1600000</v>
      </c>
      <c r="H83" s="5"/>
      <c r="I83" s="5"/>
      <c r="J83" s="5"/>
      <c r="K83" s="5">
        <f t="shared" ref="K83:K106" si="83">SUM(G83:I83)+J83</f>
        <v>1600000</v>
      </c>
      <c r="L83" s="5">
        <f>+G83*4%</f>
        <v>64000</v>
      </c>
      <c r="M83" s="5">
        <v>64000</v>
      </c>
      <c r="N83" s="5"/>
      <c r="O83" s="5"/>
      <c r="P83" s="5">
        <v>0</v>
      </c>
      <c r="Q83" s="5"/>
      <c r="R83" s="5"/>
      <c r="S83" s="5"/>
      <c r="T83" s="5">
        <f t="shared" ref="T83" si="84">SUM(L83:S83)</f>
        <v>128000</v>
      </c>
      <c r="U83" s="7">
        <f t="shared" si="77"/>
        <v>1472000</v>
      </c>
      <c r="V83" s="7"/>
      <c r="W83" s="44"/>
      <c r="X83" s="7">
        <f t="shared" si="66"/>
        <v>1472000</v>
      </c>
    </row>
    <row r="84" spans="1:24" x14ac:dyDescent="0.25">
      <c r="A84" s="90"/>
      <c r="B84" s="4">
        <v>35</v>
      </c>
      <c r="C84" s="11" t="s">
        <v>111</v>
      </c>
      <c r="D84" s="6" t="s">
        <v>27</v>
      </c>
      <c r="E84" s="5">
        <v>2500000</v>
      </c>
      <c r="F84" s="5">
        <v>30</v>
      </c>
      <c r="G84" s="5">
        <f>+E84/30*F84</f>
        <v>2500000</v>
      </c>
      <c r="H84" s="5"/>
      <c r="I84" s="5"/>
      <c r="J84" s="5"/>
      <c r="K84" s="5">
        <f t="shared" si="83"/>
        <v>2500000</v>
      </c>
      <c r="L84" s="5">
        <v>100000</v>
      </c>
      <c r="M84" s="5">
        <v>100000</v>
      </c>
      <c r="N84" s="5"/>
      <c r="O84" s="5">
        <v>100000</v>
      </c>
      <c r="P84" s="5">
        <v>0</v>
      </c>
      <c r="Q84" s="5"/>
      <c r="R84" s="5"/>
      <c r="S84" s="5">
        <v>257196</v>
      </c>
      <c r="T84" s="5">
        <f t="shared" si="49"/>
        <v>557196</v>
      </c>
      <c r="U84" s="7">
        <f t="shared" si="77"/>
        <v>1942804</v>
      </c>
      <c r="V84" s="7"/>
      <c r="W84" s="44"/>
      <c r="X84" s="7">
        <f t="shared" si="66"/>
        <v>1942804</v>
      </c>
    </row>
    <row r="85" spans="1:24" x14ac:dyDescent="0.25">
      <c r="A85" s="90"/>
      <c r="B85" s="4">
        <v>36</v>
      </c>
      <c r="C85" s="11" t="s">
        <v>112</v>
      </c>
      <c r="D85" s="6" t="s">
        <v>27</v>
      </c>
      <c r="E85" s="5">
        <v>4500000</v>
      </c>
      <c r="F85" s="5">
        <v>30</v>
      </c>
      <c r="G85" s="5">
        <f>+E85/30*F85</f>
        <v>4500000</v>
      </c>
      <c r="H85" s="5"/>
      <c r="I85" s="5"/>
      <c r="J85" s="5"/>
      <c r="K85" s="5">
        <f t="shared" si="83"/>
        <v>4500000</v>
      </c>
      <c r="L85" s="5">
        <v>180000</v>
      </c>
      <c r="M85" s="5">
        <v>225000</v>
      </c>
      <c r="N85" s="5"/>
      <c r="O85" s="5">
        <v>100000</v>
      </c>
      <c r="P85" s="5">
        <v>72000</v>
      </c>
      <c r="Q85" s="5"/>
      <c r="R85" s="5"/>
      <c r="S85" s="5"/>
      <c r="T85" s="5">
        <f t="shared" ref="T85" si="85">SUM(L85:S85)</f>
        <v>577000</v>
      </c>
      <c r="U85" s="7">
        <f t="shared" si="77"/>
        <v>3923000</v>
      </c>
      <c r="V85" s="7"/>
      <c r="W85" s="44"/>
      <c r="X85" s="7">
        <f t="shared" si="66"/>
        <v>3923000</v>
      </c>
    </row>
    <row r="86" spans="1:24" x14ac:dyDescent="0.25">
      <c r="A86" s="90"/>
      <c r="B86" s="4">
        <v>37</v>
      </c>
      <c r="C86" s="11" t="s">
        <v>151</v>
      </c>
      <c r="D86" s="6"/>
      <c r="E86" s="5">
        <v>3200000</v>
      </c>
      <c r="F86" s="5">
        <v>24</v>
      </c>
      <c r="G86" s="5">
        <f t="shared" ref="G86" si="86">+E86/30*F86</f>
        <v>2560000</v>
      </c>
      <c r="H86" s="5"/>
      <c r="I86" s="5"/>
      <c r="J86" s="5"/>
      <c r="K86" s="5">
        <f t="shared" si="83"/>
        <v>2560000</v>
      </c>
      <c r="L86" s="5">
        <f t="shared" ref="L86" si="87">+G86*4%</f>
        <v>102400</v>
      </c>
      <c r="M86" s="5">
        <f>+G86*4%</f>
        <v>102400</v>
      </c>
      <c r="N86" s="5"/>
      <c r="O86" s="5">
        <v>100000</v>
      </c>
      <c r="P86" s="5"/>
      <c r="Q86" s="5"/>
      <c r="R86" s="5"/>
      <c r="S86" s="5"/>
      <c r="T86" s="5">
        <f t="shared" ref="T86" si="88">SUM(L86:S86)</f>
        <v>304800</v>
      </c>
      <c r="U86" s="7">
        <f>+K86-T86</f>
        <v>2255200</v>
      </c>
      <c r="V86" s="7"/>
      <c r="W86" s="44"/>
      <c r="X86" s="7">
        <f t="shared" si="66"/>
        <v>2255200</v>
      </c>
    </row>
    <row r="87" spans="1:24" x14ac:dyDescent="0.25">
      <c r="A87" s="90"/>
      <c r="B87" s="4">
        <v>38</v>
      </c>
      <c r="C87" s="11" t="s">
        <v>113</v>
      </c>
      <c r="D87" s="6" t="s">
        <v>27</v>
      </c>
      <c r="E87" s="5">
        <v>4500000</v>
      </c>
      <c r="F87" s="5">
        <v>30</v>
      </c>
      <c r="G87" s="5">
        <f>+E87/30*F87</f>
        <v>4500000</v>
      </c>
      <c r="H87" s="5"/>
      <c r="I87" s="5"/>
      <c r="J87" s="5"/>
      <c r="K87" s="5">
        <f t="shared" si="83"/>
        <v>4500000</v>
      </c>
      <c r="L87" s="5">
        <v>180000</v>
      </c>
      <c r="M87" s="5">
        <v>225000</v>
      </c>
      <c r="N87" s="5"/>
      <c r="O87" s="5">
        <v>100000</v>
      </c>
      <c r="P87" s="5">
        <v>73073</v>
      </c>
      <c r="Q87" s="5"/>
      <c r="R87" s="5"/>
      <c r="S87" s="5"/>
      <c r="T87" s="5">
        <f>SUM(L87:S87)</f>
        <v>578073</v>
      </c>
      <c r="U87" s="7">
        <f t="shared" ref="U87:U92" si="89">K87-T87</f>
        <v>3921927</v>
      </c>
      <c r="V87" s="7"/>
      <c r="W87" s="44"/>
      <c r="X87" s="7">
        <f t="shared" si="66"/>
        <v>3921927</v>
      </c>
    </row>
    <row r="88" spans="1:24" x14ac:dyDescent="0.25">
      <c r="A88" s="90"/>
      <c r="B88" s="4">
        <v>39</v>
      </c>
      <c r="C88" s="11" t="s">
        <v>114</v>
      </c>
      <c r="D88" s="6" t="s">
        <v>27</v>
      </c>
      <c r="E88" s="5">
        <v>2500000</v>
      </c>
      <c r="F88" s="5">
        <v>30</v>
      </c>
      <c r="G88" s="5">
        <f t="shared" ref="G88" si="90">+E88/30*F88</f>
        <v>2500000</v>
      </c>
      <c r="H88" s="5"/>
      <c r="I88" s="5">
        <v>500000</v>
      </c>
      <c r="J88" s="5">
        <f>+E88-G88</f>
        <v>0</v>
      </c>
      <c r="K88" s="5">
        <f t="shared" si="83"/>
        <v>3000000</v>
      </c>
      <c r="L88" s="5">
        <v>100000</v>
      </c>
      <c r="M88" s="5">
        <v>100000</v>
      </c>
      <c r="N88" s="5"/>
      <c r="O88" s="5">
        <v>100000</v>
      </c>
      <c r="P88" s="5">
        <v>0</v>
      </c>
      <c r="Q88" s="5"/>
      <c r="R88" s="5"/>
      <c r="S88" s="5"/>
      <c r="T88" s="5">
        <f t="shared" si="49"/>
        <v>300000</v>
      </c>
      <c r="U88" s="7">
        <f t="shared" si="89"/>
        <v>2700000</v>
      </c>
      <c r="V88" s="7"/>
      <c r="W88" s="44"/>
      <c r="X88" s="7">
        <f t="shared" si="66"/>
        <v>2700000</v>
      </c>
    </row>
    <row r="89" spans="1:24" x14ac:dyDescent="0.25">
      <c r="A89" s="90"/>
      <c r="B89" s="4">
        <v>40</v>
      </c>
      <c r="C89" s="11" t="s">
        <v>116</v>
      </c>
      <c r="D89" s="6" t="s">
        <v>27</v>
      </c>
      <c r="E89" s="5">
        <v>900000</v>
      </c>
      <c r="F89" s="5">
        <v>30</v>
      </c>
      <c r="G89" s="5">
        <f>+E89/30*F89</f>
        <v>900000</v>
      </c>
      <c r="H89" s="5">
        <f>+(83140/30)*F89</f>
        <v>83140</v>
      </c>
      <c r="I89" s="5"/>
      <c r="J89" s="5"/>
      <c r="K89" s="5">
        <f t="shared" ref="K89" si="91">SUM(G89:I89)+J89</f>
        <v>983140</v>
      </c>
      <c r="L89" s="5">
        <f>+G89*4%</f>
        <v>36000</v>
      </c>
      <c r="M89" s="5">
        <f>+G89*4%</f>
        <v>36000</v>
      </c>
      <c r="N89" s="5"/>
      <c r="O89" s="5">
        <v>100000</v>
      </c>
      <c r="P89" s="5"/>
      <c r="Q89" s="5"/>
      <c r="R89" s="5"/>
      <c r="S89" s="5"/>
      <c r="T89" s="5">
        <f t="shared" ref="T89" si="92">SUM(L89:S89)</f>
        <v>172000</v>
      </c>
      <c r="U89" s="7">
        <f t="shared" si="89"/>
        <v>811140</v>
      </c>
      <c r="V89" s="7"/>
      <c r="W89" s="44"/>
      <c r="X89" s="7">
        <f t="shared" si="66"/>
        <v>811140</v>
      </c>
    </row>
    <row r="90" spans="1:24" ht="23.25" customHeight="1" x14ac:dyDescent="0.25">
      <c r="A90" s="90"/>
      <c r="B90" s="4">
        <v>41</v>
      </c>
      <c r="C90" s="3" t="s">
        <v>117</v>
      </c>
      <c r="D90" s="4" t="s">
        <v>27</v>
      </c>
      <c r="E90" s="5">
        <v>737717</v>
      </c>
      <c r="F90" s="5">
        <v>30</v>
      </c>
      <c r="G90" s="5">
        <f>+E90/30*F90</f>
        <v>737717</v>
      </c>
      <c r="H90" s="5">
        <v>83139</v>
      </c>
      <c r="I90" s="5"/>
      <c r="J90" s="5">
        <v>48992</v>
      </c>
      <c r="K90" s="5">
        <f t="shared" si="83"/>
        <v>869848</v>
      </c>
      <c r="L90" s="5">
        <f>+G90*4%</f>
        <v>29508.68</v>
      </c>
      <c r="M90" s="5">
        <f>+G90*4%</f>
        <v>29508.68</v>
      </c>
      <c r="N90" s="5"/>
      <c r="O90" s="5"/>
      <c r="P90" s="5">
        <v>0</v>
      </c>
      <c r="Q90" s="5"/>
      <c r="R90" s="5"/>
      <c r="S90" s="5"/>
      <c r="T90" s="5">
        <f t="shared" si="49"/>
        <v>59017.36</v>
      </c>
      <c r="U90" s="7">
        <f t="shared" si="89"/>
        <v>810830.64</v>
      </c>
      <c r="V90" s="7"/>
      <c r="W90" s="44"/>
      <c r="X90" s="7">
        <f t="shared" si="66"/>
        <v>810830.64</v>
      </c>
    </row>
    <row r="91" spans="1:24" x14ac:dyDescent="0.25">
      <c r="A91" s="90"/>
      <c r="B91" s="4">
        <v>42</v>
      </c>
      <c r="C91" s="3" t="s">
        <v>118</v>
      </c>
      <c r="D91" s="4"/>
      <c r="E91" s="5">
        <v>5000000</v>
      </c>
      <c r="F91" s="5">
        <v>30</v>
      </c>
      <c r="G91" s="5">
        <f>+E91/30*F91</f>
        <v>5000000</v>
      </c>
      <c r="H91" s="5"/>
      <c r="I91" s="5"/>
      <c r="J91" s="5"/>
      <c r="K91" s="5">
        <f t="shared" si="83"/>
        <v>5000000</v>
      </c>
      <c r="L91" s="5">
        <f>+G91*4%</f>
        <v>200000</v>
      </c>
      <c r="M91" s="5">
        <f>+G91*5%</f>
        <v>250000</v>
      </c>
      <c r="N91" s="5"/>
      <c r="O91" s="5"/>
      <c r="P91" s="5">
        <v>102000</v>
      </c>
      <c r="Q91" s="5"/>
      <c r="R91" s="5"/>
      <c r="S91" s="5"/>
      <c r="T91" s="5">
        <f t="shared" ref="T91" si="93">SUM(L91:S91)</f>
        <v>552000</v>
      </c>
      <c r="U91" s="7">
        <f t="shared" si="89"/>
        <v>4448000</v>
      </c>
      <c r="V91" s="7"/>
      <c r="W91" s="44"/>
      <c r="X91" s="7">
        <f t="shared" si="66"/>
        <v>4448000</v>
      </c>
    </row>
    <row r="92" spans="1:24" x14ac:dyDescent="0.25">
      <c r="A92" s="90"/>
      <c r="B92" s="4">
        <v>43</v>
      </c>
      <c r="C92" s="3" t="s">
        <v>119</v>
      </c>
      <c r="D92" s="4" t="s">
        <v>27</v>
      </c>
      <c r="E92" s="5">
        <v>1400000</v>
      </c>
      <c r="F92" s="5">
        <v>30</v>
      </c>
      <c r="G92" s="5">
        <f>+E92/30*F92</f>
        <v>1400000</v>
      </c>
      <c r="H92" s="5">
        <f>+(83140/30)*F92</f>
        <v>83140</v>
      </c>
      <c r="I92" s="5"/>
      <c r="J92" s="5"/>
      <c r="K92" s="5">
        <f t="shared" ref="K92" si="94">SUM(G92:I92)+J92</f>
        <v>1483140</v>
      </c>
      <c r="L92" s="5">
        <f>+G92*4%</f>
        <v>56000</v>
      </c>
      <c r="M92" s="5">
        <f>+G92*4%</f>
        <v>56000</v>
      </c>
      <c r="N92" s="5"/>
      <c r="O92" s="5">
        <v>100000</v>
      </c>
      <c r="P92" s="5">
        <v>0</v>
      </c>
      <c r="Q92" s="5"/>
      <c r="R92" s="5"/>
      <c r="S92" s="5"/>
      <c r="T92" s="5">
        <f t="shared" ref="T92" si="95">SUM(L92:S92)</f>
        <v>212000</v>
      </c>
      <c r="U92" s="7">
        <f t="shared" si="89"/>
        <v>1271140</v>
      </c>
      <c r="V92" s="7"/>
      <c r="W92" s="44"/>
      <c r="X92" s="7">
        <f t="shared" si="66"/>
        <v>1271140</v>
      </c>
    </row>
    <row r="93" spans="1:24" x14ac:dyDescent="0.25">
      <c r="A93" s="90"/>
      <c r="B93" s="4">
        <v>44</v>
      </c>
      <c r="C93" s="11" t="s">
        <v>120</v>
      </c>
      <c r="D93" s="6" t="s">
        <v>27</v>
      </c>
      <c r="E93" s="5">
        <v>15400000</v>
      </c>
      <c r="F93" s="5">
        <v>30</v>
      </c>
      <c r="G93" s="5">
        <f t="shared" ref="G93:G103" si="96">+E93/30*F93</f>
        <v>15400000</v>
      </c>
      <c r="H93" s="5"/>
      <c r="I93" s="5">
        <v>600000</v>
      </c>
      <c r="J93" s="5"/>
      <c r="K93" s="5">
        <f t="shared" si="83"/>
        <v>16000000</v>
      </c>
      <c r="L93" s="5">
        <v>616000</v>
      </c>
      <c r="M93" s="5">
        <f>616000+308000</f>
        <v>924000</v>
      </c>
      <c r="N93" s="5">
        <v>102400</v>
      </c>
      <c r="O93" s="5"/>
      <c r="P93" s="5">
        <v>916000</v>
      </c>
      <c r="Q93" s="5">
        <v>5000000</v>
      </c>
      <c r="R93" s="5">
        <v>180180</v>
      </c>
      <c r="S93" s="5">
        <v>2314715</v>
      </c>
      <c r="T93" s="5">
        <f t="shared" si="49"/>
        <v>10053295</v>
      </c>
      <c r="U93" s="7">
        <f>+K93-T93</f>
        <v>5946705</v>
      </c>
      <c r="V93" s="7"/>
      <c r="W93" s="44"/>
      <c r="X93" s="7">
        <f t="shared" si="66"/>
        <v>5946705</v>
      </c>
    </row>
    <row r="94" spans="1:24" x14ac:dyDescent="0.25">
      <c r="A94" s="90"/>
      <c r="B94" s="4">
        <v>45</v>
      </c>
      <c r="C94" s="11" t="s">
        <v>121</v>
      </c>
      <c r="D94" s="6" t="s">
        <v>27</v>
      </c>
      <c r="E94" s="5">
        <v>4500000</v>
      </c>
      <c r="F94" s="5">
        <v>30</v>
      </c>
      <c r="G94" s="5">
        <f t="shared" si="96"/>
        <v>4500000</v>
      </c>
      <c r="H94" s="5"/>
      <c r="I94" s="5"/>
      <c r="J94" s="5"/>
      <c r="K94" s="5">
        <f t="shared" si="83"/>
        <v>4500000</v>
      </c>
      <c r="L94" s="5">
        <f t="shared" ref="L94:L105" si="97">+G94*4%</f>
        <v>180000</v>
      </c>
      <c r="M94" s="5">
        <f>+G94*5%</f>
        <v>225000</v>
      </c>
      <c r="N94" s="5"/>
      <c r="O94" s="5"/>
      <c r="P94" s="5">
        <v>90000</v>
      </c>
      <c r="Q94" s="5"/>
      <c r="R94" s="5"/>
      <c r="S94" s="5"/>
      <c r="T94" s="5">
        <f t="shared" si="49"/>
        <v>495000</v>
      </c>
      <c r="U94" s="7">
        <f>+K94-T94</f>
        <v>4005000</v>
      </c>
      <c r="V94" s="7"/>
      <c r="W94" s="44"/>
      <c r="X94" s="7">
        <f t="shared" si="66"/>
        <v>4005000</v>
      </c>
    </row>
    <row r="95" spans="1:24" x14ac:dyDescent="0.25">
      <c r="A95" s="90"/>
      <c r="B95" s="4">
        <v>46</v>
      </c>
      <c r="C95" s="11" t="s">
        <v>122</v>
      </c>
      <c r="D95" s="6" t="s">
        <v>27</v>
      </c>
      <c r="E95" s="5">
        <v>2000000</v>
      </c>
      <c r="F95" s="5">
        <v>30</v>
      </c>
      <c r="G95" s="5">
        <f t="shared" si="96"/>
        <v>2000000.0000000002</v>
      </c>
      <c r="H95" s="5"/>
      <c r="I95" s="5"/>
      <c r="J95" s="5">
        <f>+E95-G95</f>
        <v>0</v>
      </c>
      <c r="K95" s="5">
        <f t="shared" si="83"/>
        <v>2000000.0000000002</v>
      </c>
      <c r="L95" s="5">
        <f>+G95*4%</f>
        <v>80000.000000000015</v>
      </c>
      <c r="M95" s="5">
        <f>+G95*4%</f>
        <v>80000.000000000015</v>
      </c>
      <c r="N95" s="5"/>
      <c r="O95" s="5"/>
      <c r="P95" s="5">
        <v>0</v>
      </c>
      <c r="Q95" s="5"/>
      <c r="R95" s="5"/>
      <c r="S95" s="5"/>
      <c r="T95" s="5">
        <f t="shared" si="49"/>
        <v>160000.00000000003</v>
      </c>
      <c r="U95" s="7">
        <f>+K95-T95</f>
        <v>1840000.0000000002</v>
      </c>
      <c r="V95" s="7"/>
      <c r="W95" s="44"/>
      <c r="X95" s="7">
        <f t="shared" si="66"/>
        <v>1840000.0000000002</v>
      </c>
    </row>
    <row r="96" spans="1:24" x14ac:dyDescent="0.25">
      <c r="A96" s="90"/>
      <c r="B96" s="4">
        <v>47</v>
      </c>
      <c r="C96" s="3" t="s">
        <v>123</v>
      </c>
      <c r="D96" s="4" t="s">
        <v>27</v>
      </c>
      <c r="E96" s="5">
        <v>2000000</v>
      </c>
      <c r="F96" s="5">
        <v>30</v>
      </c>
      <c r="G96" s="5">
        <f t="shared" si="96"/>
        <v>2000000.0000000002</v>
      </c>
      <c r="H96" s="5"/>
      <c r="I96" s="5">
        <v>160000</v>
      </c>
      <c r="J96" s="5">
        <f>+E96-G96</f>
        <v>0</v>
      </c>
      <c r="K96" s="5">
        <f t="shared" si="83"/>
        <v>2160000</v>
      </c>
      <c r="L96" s="5">
        <f>+E96*4%</f>
        <v>80000</v>
      </c>
      <c r="M96" s="5">
        <v>80000</v>
      </c>
      <c r="N96" s="5"/>
      <c r="O96" s="5"/>
      <c r="P96" s="5">
        <v>0</v>
      </c>
      <c r="Q96" s="5"/>
      <c r="R96" s="5"/>
      <c r="S96" s="5"/>
      <c r="T96" s="5">
        <f t="shared" si="49"/>
        <v>160000</v>
      </c>
      <c r="U96" s="7">
        <f>K96-T96</f>
        <v>2000000</v>
      </c>
      <c r="V96" s="7"/>
      <c r="W96" s="44"/>
      <c r="X96" s="7">
        <f t="shared" si="66"/>
        <v>2000000</v>
      </c>
    </row>
    <row r="97" spans="1:24" x14ac:dyDescent="0.25">
      <c r="A97" s="90"/>
      <c r="B97" s="4">
        <v>48</v>
      </c>
      <c r="C97" s="3" t="s">
        <v>124</v>
      </c>
      <c r="D97" s="4" t="s">
        <v>27</v>
      </c>
      <c r="E97" s="5">
        <v>1600000</v>
      </c>
      <c r="F97" s="5">
        <v>30</v>
      </c>
      <c r="G97" s="5">
        <f t="shared" si="96"/>
        <v>1600000</v>
      </c>
      <c r="H97" s="5"/>
      <c r="I97" s="5"/>
      <c r="J97" s="5">
        <v>200000</v>
      </c>
      <c r="K97" s="5">
        <f t="shared" si="83"/>
        <v>1800000</v>
      </c>
      <c r="L97" s="5">
        <f>+G97*4%</f>
        <v>64000</v>
      </c>
      <c r="M97" s="5">
        <f>+G97*4%</f>
        <v>64000</v>
      </c>
      <c r="N97" s="5"/>
      <c r="O97" s="5"/>
      <c r="P97" s="5"/>
      <c r="Q97" s="5"/>
      <c r="R97" s="5"/>
      <c r="S97" s="5"/>
      <c r="T97" s="5">
        <f>SUM(L97:S97)</f>
        <v>128000</v>
      </c>
      <c r="U97" s="7">
        <f>K97-T97</f>
        <v>1672000</v>
      </c>
      <c r="V97" s="7"/>
      <c r="W97" s="44"/>
      <c r="X97" s="7">
        <f t="shared" si="66"/>
        <v>1672000</v>
      </c>
    </row>
    <row r="98" spans="1:24" x14ac:dyDescent="0.25">
      <c r="A98" s="90"/>
      <c r="B98" s="4">
        <v>49</v>
      </c>
      <c r="C98" s="3" t="s">
        <v>125</v>
      </c>
      <c r="D98" s="4"/>
      <c r="E98" s="5">
        <v>800000</v>
      </c>
      <c r="F98" s="5">
        <v>30</v>
      </c>
      <c r="G98" s="5">
        <f t="shared" si="96"/>
        <v>800000</v>
      </c>
      <c r="H98" s="5"/>
      <c r="I98" s="5"/>
      <c r="J98" s="5"/>
      <c r="K98" s="5">
        <f t="shared" ref="K98:K99" si="98">SUM(G98:I98)+J98</f>
        <v>800000</v>
      </c>
      <c r="L98" s="5">
        <f>+G98*4%</f>
        <v>32000</v>
      </c>
      <c r="M98" s="5">
        <f>+G98*4%</f>
        <v>32000</v>
      </c>
      <c r="N98" s="5"/>
      <c r="O98" s="5"/>
      <c r="P98" s="5"/>
      <c r="Q98" s="5"/>
      <c r="R98" s="5"/>
      <c r="S98" s="5"/>
      <c r="T98" s="5">
        <f>SUM(L98:S98)</f>
        <v>64000</v>
      </c>
      <c r="U98" s="7">
        <f>K98-T98</f>
        <v>736000</v>
      </c>
      <c r="V98" s="7"/>
      <c r="W98" s="44"/>
      <c r="X98" s="7">
        <f t="shared" si="66"/>
        <v>736000</v>
      </c>
    </row>
    <row r="99" spans="1:24" x14ac:dyDescent="0.25">
      <c r="A99" s="90"/>
      <c r="B99" s="4">
        <v>50</v>
      </c>
      <c r="C99" s="3" t="s">
        <v>126</v>
      </c>
      <c r="D99" s="4"/>
      <c r="E99" s="5">
        <v>4500000</v>
      </c>
      <c r="F99" s="5">
        <v>30</v>
      </c>
      <c r="G99" s="5">
        <f t="shared" si="96"/>
        <v>4500000</v>
      </c>
      <c r="H99" s="5"/>
      <c r="I99" s="5"/>
      <c r="J99" s="5"/>
      <c r="K99" s="5">
        <f t="shared" si="98"/>
        <v>4500000</v>
      </c>
      <c r="L99" s="5">
        <f>+G99*4%</f>
        <v>180000</v>
      </c>
      <c r="M99" s="5">
        <f>+G99*5%</f>
        <v>225000</v>
      </c>
      <c r="N99" s="5"/>
      <c r="O99" s="5"/>
      <c r="P99" s="5">
        <v>34000</v>
      </c>
      <c r="Q99" s="5"/>
      <c r="R99" s="5"/>
      <c r="S99" s="5"/>
      <c r="T99" s="5">
        <f>SUM(L99:S99)</f>
        <v>439000</v>
      </c>
      <c r="U99" s="7">
        <f>K99-T99</f>
        <v>4061000</v>
      </c>
      <c r="V99" s="7"/>
      <c r="W99" s="44"/>
      <c r="X99" s="7">
        <f t="shared" si="66"/>
        <v>4061000</v>
      </c>
    </row>
    <row r="100" spans="1:24" ht="24" x14ac:dyDescent="0.25">
      <c r="A100" s="90"/>
      <c r="B100" s="4">
        <v>51</v>
      </c>
      <c r="C100" s="11" t="s">
        <v>128</v>
      </c>
      <c r="D100" s="6" t="s">
        <v>27</v>
      </c>
      <c r="E100" s="5">
        <v>2500000</v>
      </c>
      <c r="F100" s="5">
        <v>30</v>
      </c>
      <c r="G100" s="5">
        <f t="shared" si="96"/>
        <v>2500000</v>
      </c>
      <c r="H100" s="5">
        <v>421875</v>
      </c>
      <c r="I100" s="5"/>
      <c r="J100" s="5"/>
      <c r="K100" s="5">
        <f t="shared" si="83"/>
        <v>2921875</v>
      </c>
      <c r="L100" s="5">
        <f t="shared" ref="L100:L102" si="99">+G100*4%</f>
        <v>100000</v>
      </c>
      <c r="M100" s="5">
        <f>+G100*4%</f>
        <v>100000</v>
      </c>
      <c r="N100" s="5"/>
      <c r="O100" s="5"/>
      <c r="P100" s="5"/>
      <c r="Q100" s="5"/>
      <c r="R100" s="5"/>
      <c r="S100" s="5"/>
      <c r="T100" s="5">
        <f t="shared" si="49"/>
        <v>200000</v>
      </c>
      <c r="U100" s="7">
        <f>+K100-T100</f>
        <v>2721875</v>
      </c>
      <c r="V100" s="7"/>
      <c r="W100" s="44"/>
      <c r="X100" s="7">
        <f t="shared" si="66"/>
        <v>2721875</v>
      </c>
    </row>
    <row r="101" spans="1:24" x14ac:dyDescent="0.25">
      <c r="A101" s="90"/>
      <c r="B101" s="4">
        <v>52</v>
      </c>
      <c r="C101" s="11" t="s">
        <v>129</v>
      </c>
      <c r="D101" s="6" t="s">
        <v>27</v>
      </c>
      <c r="E101" s="5">
        <v>3700000</v>
      </c>
      <c r="F101" s="5">
        <v>30</v>
      </c>
      <c r="G101" s="5">
        <f t="shared" si="96"/>
        <v>3700000</v>
      </c>
      <c r="H101" s="5"/>
      <c r="I101" s="5">
        <v>650000</v>
      </c>
      <c r="J101" s="5"/>
      <c r="K101" s="5">
        <f t="shared" ref="K101" si="100">SUM(G101:I101)+J101</f>
        <v>4350000</v>
      </c>
      <c r="L101" s="5">
        <f t="shared" si="99"/>
        <v>148000</v>
      </c>
      <c r="M101" s="5">
        <f>+G101*5%</f>
        <v>185000</v>
      </c>
      <c r="N101" s="5"/>
      <c r="O101" s="5"/>
      <c r="P101" s="5">
        <v>35000</v>
      </c>
      <c r="Q101" s="5"/>
      <c r="R101" s="5"/>
      <c r="S101" s="5"/>
      <c r="T101" s="5">
        <f t="shared" ref="T101" si="101">SUM(L101:S101)</f>
        <v>368000</v>
      </c>
      <c r="U101" s="7">
        <f>+K101-T101</f>
        <v>3982000</v>
      </c>
      <c r="V101" s="7"/>
      <c r="W101" s="44"/>
      <c r="X101" s="7">
        <f t="shared" si="66"/>
        <v>3982000</v>
      </c>
    </row>
    <row r="102" spans="1:24" x14ac:dyDescent="0.25">
      <c r="A102" s="90"/>
      <c r="B102" s="4">
        <v>53</v>
      </c>
      <c r="C102" s="11" t="s">
        <v>130</v>
      </c>
      <c r="D102" s="6" t="s">
        <v>35</v>
      </c>
      <c r="E102" s="5">
        <v>1800000</v>
      </c>
      <c r="F102" s="5">
        <v>30</v>
      </c>
      <c r="G102" s="5">
        <f t="shared" si="96"/>
        <v>1800000</v>
      </c>
      <c r="H102" s="5"/>
      <c r="I102" s="5"/>
      <c r="J102" s="5"/>
      <c r="K102" s="5">
        <f t="shared" si="83"/>
        <v>1800000</v>
      </c>
      <c r="L102" s="5">
        <f t="shared" si="99"/>
        <v>72000</v>
      </c>
      <c r="M102" s="5">
        <f>+G102*4%</f>
        <v>72000</v>
      </c>
      <c r="N102" s="5"/>
      <c r="O102" s="5"/>
      <c r="P102" s="17"/>
      <c r="Q102" s="5"/>
      <c r="R102" s="5"/>
      <c r="S102" s="5">
        <v>136805</v>
      </c>
      <c r="T102" s="5">
        <f t="shared" si="49"/>
        <v>280805</v>
      </c>
      <c r="U102" s="7">
        <f>+K102-T102</f>
        <v>1519195</v>
      </c>
      <c r="V102" s="7"/>
      <c r="W102" s="44"/>
      <c r="X102" s="7">
        <f t="shared" si="66"/>
        <v>1519195</v>
      </c>
    </row>
    <row r="103" spans="1:24" x14ac:dyDescent="0.25">
      <c r="A103" s="90"/>
      <c r="B103" s="4">
        <v>54</v>
      </c>
      <c r="C103" s="3" t="s">
        <v>131</v>
      </c>
      <c r="D103" s="4" t="s">
        <v>27</v>
      </c>
      <c r="E103" s="5">
        <v>1600000</v>
      </c>
      <c r="F103" s="5">
        <v>30</v>
      </c>
      <c r="G103" s="5">
        <f t="shared" si="96"/>
        <v>1600000</v>
      </c>
      <c r="H103" s="5"/>
      <c r="I103" s="5"/>
      <c r="J103" s="5">
        <f>+E103-G103</f>
        <v>0</v>
      </c>
      <c r="K103" s="5">
        <f t="shared" si="83"/>
        <v>1600000</v>
      </c>
      <c r="L103" s="5">
        <f>+K103*4%</f>
        <v>64000</v>
      </c>
      <c r="M103" s="5">
        <v>64000</v>
      </c>
      <c r="N103" s="5"/>
      <c r="O103" s="5"/>
      <c r="P103" s="5">
        <v>0</v>
      </c>
      <c r="Q103" s="5"/>
      <c r="R103" s="5"/>
      <c r="S103" s="5">
        <v>249127</v>
      </c>
      <c r="T103" s="5">
        <f t="shared" si="49"/>
        <v>377127</v>
      </c>
      <c r="U103" s="7">
        <f>K103-T103</f>
        <v>1222873</v>
      </c>
      <c r="V103" s="7"/>
      <c r="W103" s="44"/>
      <c r="X103" s="7">
        <f t="shared" si="66"/>
        <v>1222873</v>
      </c>
    </row>
    <row r="104" spans="1:24" x14ac:dyDescent="0.25">
      <c r="A104" s="90"/>
      <c r="B104" s="4">
        <v>55</v>
      </c>
      <c r="C104" s="11" t="s">
        <v>132</v>
      </c>
      <c r="D104" s="6" t="s">
        <v>27</v>
      </c>
      <c r="E104" s="5">
        <v>737717</v>
      </c>
      <c r="F104" s="5">
        <v>30</v>
      </c>
      <c r="G104" s="5">
        <f>+E104/30*F104</f>
        <v>737717</v>
      </c>
      <c r="H104" s="5">
        <f t="shared" ref="H104" si="102">+(83140/30)*F104</f>
        <v>83140</v>
      </c>
      <c r="I104" s="5"/>
      <c r="J104" s="5"/>
      <c r="K104" s="5">
        <f t="shared" si="83"/>
        <v>820857</v>
      </c>
      <c r="L104" s="5">
        <f t="shared" si="97"/>
        <v>29508.68</v>
      </c>
      <c r="M104" s="5">
        <v>29509</v>
      </c>
      <c r="N104" s="5"/>
      <c r="O104" s="5"/>
      <c r="P104" s="5">
        <v>0</v>
      </c>
      <c r="Q104" s="5"/>
      <c r="R104" s="5"/>
      <c r="S104" s="5"/>
      <c r="T104" s="5">
        <f t="shared" si="49"/>
        <v>59017.68</v>
      </c>
      <c r="U104" s="7">
        <f t="shared" ref="U104:U109" si="103">+K104-T104</f>
        <v>761839.32</v>
      </c>
      <c r="V104" s="7"/>
      <c r="W104" s="44"/>
      <c r="X104" s="7">
        <f t="shared" si="66"/>
        <v>761839.32</v>
      </c>
    </row>
    <row r="105" spans="1:24" ht="24" x14ac:dyDescent="0.25">
      <c r="A105" s="90"/>
      <c r="B105" s="4">
        <v>56</v>
      </c>
      <c r="C105" s="11" t="s">
        <v>134</v>
      </c>
      <c r="D105" s="6" t="s">
        <v>27</v>
      </c>
      <c r="E105" s="5">
        <v>1800000</v>
      </c>
      <c r="F105" s="5">
        <v>30</v>
      </c>
      <c r="G105" s="5">
        <f>+E105/30*F105</f>
        <v>1800000</v>
      </c>
      <c r="H105" s="5"/>
      <c r="I105" s="5"/>
      <c r="J105" s="21">
        <v>560860</v>
      </c>
      <c r="K105" s="5">
        <f t="shared" si="83"/>
        <v>2360860</v>
      </c>
      <c r="L105" s="5">
        <f t="shared" si="97"/>
        <v>72000</v>
      </c>
      <c r="M105" s="5">
        <f t="shared" ref="M105" si="104">+G105*4%</f>
        <v>72000</v>
      </c>
      <c r="N105" s="5"/>
      <c r="O105" s="5"/>
      <c r="P105" s="5">
        <v>0</v>
      </c>
      <c r="Q105" s="5"/>
      <c r="R105" s="5"/>
      <c r="S105" s="5"/>
      <c r="T105" s="5">
        <f t="shared" ref="T105" si="105">SUM(L105:S105)</f>
        <v>144000</v>
      </c>
      <c r="U105" s="7">
        <f t="shared" si="103"/>
        <v>2216860</v>
      </c>
      <c r="V105" s="7"/>
      <c r="W105" s="44"/>
      <c r="X105" s="7">
        <f t="shared" si="66"/>
        <v>2216860</v>
      </c>
    </row>
    <row r="106" spans="1:24" ht="18.75" customHeight="1" x14ac:dyDescent="0.25">
      <c r="A106" s="90"/>
      <c r="B106" s="4">
        <v>57</v>
      </c>
      <c r="C106" s="11" t="s">
        <v>135</v>
      </c>
      <c r="D106" s="6" t="s">
        <v>27</v>
      </c>
      <c r="E106" s="5">
        <v>2000000</v>
      </c>
      <c r="F106" s="5">
        <v>30</v>
      </c>
      <c r="G106" s="5">
        <f t="shared" ref="G106" si="106">+E106/30*F106</f>
        <v>2000000.0000000002</v>
      </c>
      <c r="H106" s="5"/>
      <c r="I106" s="5"/>
      <c r="J106" s="5">
        <f>+E106-G106</f>
        <v>0</v>
      </c>
      <c r="K106" s="5">
        <f t="shared" si="83"/>
        <v>2000000.0000000002</v>
      </c>
      <c r="L106" s="5">
        <v>80000</v>
      </c>
      <c r="M106" s="5">
        <v>80000</v>
      </c>
      <c r="N106" s="5"/>
      <c r="O106" s="5"/>
      <c r="P106" s="5"/>
      <c r="Q106" s="5"/>
      <c r="R106" s="5"/>
      <c r="S106" s="5"/>
      <c r="T106" s="5">
        <f t="shared" si="49"/>
        <v>160000</v>
      </c>
      <c r="U106" s="7">
        <f t="shared" si="103"/>
        <v>1840000.0000000002</v>
      </c>
      <c r="V106" s="7"/>
      <c r="W106" s="44"/>
      <c r="X106" s="7">
        <f t="shared" si="66"/>
        <v>1840000.0000000002</v>
      </c>
    </row>
    <row r="107" spans="1:24" ht="18.75" customHeight="1" x14ac:dyDescent="0.25">
      <c r="A107" s="90"/>
      <c r="B107" s="4">
        <v>58</v>
      </c>
      <c r="C107" s="11" t="s">
        <v>136</v>
      </c>
      <c r="D107" s="6"/>
      <c r="E107" s="5">
        <v>737717</v>
      </c>
      <c r="F107" s="5">
        <v>28</v>
      </c>
      <c r="G107" s="5">
        <f>+E107/30*F107</f>
        <v>688535.8666666667</v>
      </c>
      <c r="H107" s="5">
        <f t="shared" ref="H107:H108" si="107">+(83140/30)*F107</f>
        <v>77597.333333333343</v>
      </c>
      <c r="I107" s="5"/>
      <c r="J107" s="22">
        <f>+E107-G107</f>
        <v>49181.133333333302</v>
      </c>
      <c r="K107" s="5">
        <f t="shared" ref="K107:K108" si="108">SUM(G107:I107)+J107</f>
        <v>815314.33333333337</v>
      </c>
      <c r="L107" s="5">
        <v>29509</v>
      </c>
      <c r="M107" s="5">
        <v>29509</v>
      </c>
      <c r="N107" s="5"/>
      <c r="O107" s="5"/>
      <c r="P107" s="5">
        <v>0</v>
      </c>
      <c r="Q107" s="5"/>
      <c r="R107" s="5"/>
      <c r="S107" s="5"/>
      <c r="T107" s="5">
        <f t="shared" ref="T107" si="109">SUM(L107:S107)</f>
        <v>59018</v>
      </c>
      <c r="U107" s="7">
        <f t="shared" si="103"/>
        <v>756296.33333333337</v>
      </c>
      <c r="V107" s="7"/>
      <c r="W107" s="44"/>
      <c r="X107" s="7">
        <f t="shared" si="66"/>
        <v>756296.33333333337</v>
      </c>
    </row>
    <row r="108" spans="1:24" ht="18.75" customHeight="1" x14ac:dyDescent="0.25">
      <c r="A108" s="90"/>
      <c r="B108" s="4">
        <v>59</v>
      </c>
      <c r="C108" s="11" t="s">
        <v>137</v>
      </c>
      <c r="D108" s="6"/>
      <c r="E108" s="5">
        <v>1070000</v>
      </c>
      <c r="F108" s="5">
        <v>30</v>
      </c>
      <c r="G108" s="5">
        <f>+E108/30*F108</f>
        <v>1070000</v>
      </c>
      <c r="H108" s="5">
        <f t="shared" si="107"/>
        <v>83140</v>
      </c>
      <c r="I108" s="5"/>
      <c r="J108" s="22"/>
      <c r="K108" s="5">
        <f t="shared" si="108"/>
        <v>1153140</v>
      </c>
      <c r="L108" s="5">
        <f t="shared" ref="L108" si="110">+G108*4%</f>
        <v>42800</v>
      </c>
      <c r="M108" s="5">
        <f t="shared" ref="M108" si="111">+G108*4%</f>
        <v>42800</v>
      </c>
      <c r="N108" s="5"/>
      <c r="O108" s="5">
        <v>100000</v>
      </c>
      <c r="P108" s="5">
        <v>0</v>
      </c>
      <c r="Q108" s="5"/>
      <c r="R108" s="5"/>
      <c r="S108" s="5"/>
      <c r="T108" s="5">
        <f t="shared" ref="T108" si="112">SUM(L108:S108)</f>
        <v>185600</v>
      </c>
      <c r="U108" s="7">
        <f t="shared" si="103"/>
        <v>967540</v>
      </c>
      <c r="V108" s="7"/>
      <c r="W108" s="44"/>
      <c r="X108" s="7">
        <f t="shared" si="66"/>
        <v>967540</v>
      </c>
    </row>
    <row r="109" spans="1:24" x14ac:dyDescent="0.25">
      <c r="A109" s="91"/>
      <c r="B109" s="4">
        <v>60</v>
      </c>
      <c r="C109" s="11" t="s">
        <v>138</v>
      </c>
      <c r="D109" s="6" t="s">
        <v>27</v>
      </c>
      <c r="E109" s="5">
        <v>4400000</v>
      </c>
      <c r="F109" s="5">
        <v>30</v>
      </c>
      <c r="G109" s="5">
        <f>+E109/30*F109</f>
        <v>4400000</v>
      </c>
      <c r="H109" s="5"/>
      <c r="I109" s="5"/>
      <c r="J109" s="5"/>
      <c r="K109" s="5">
        <f t="shared" ref="K109" si="113">SUM(G109:I109)+J109</f>
        <v>4400000</v>
      </c>
      <c r="L109" s="5">
        <f>+G109*4%</f>
        <v>176000</v>
      </c>
      <c r="M109" s="5">
        <f>+G109*5%</f>
        <v>220000</v>
      </c>
      <c r="N109" s="5"/>
      <c r="O109" s="5"/>
      <c r="P109" s="5">
        <v>44000</v>
      </c>
      <c r="Q109" s="5"/>
      <c r="R109" s="5"/>
      <c r="S109" s="5">
        <v>517840</v>
      </c>
      <c r="T109" s="5">
        <f t="shared" si="49"/>
        <v>957840</v>
      </c>
      <c r="U109" s="7">
        <f t="shared" si="103"/>
        <v>3442160</v>
      </c>
      <c r="V109" s="7"/>
      <c r="W109" s="44"/>
      <c r="X109" s="7">
        <f t="shared" si="66"/>
        <v>3442160</v>
      </c>
    </row>
    <row r="110" spans="1:24" x14ac:dyDescent="0.25">
      <c r="A110" s="4"/>
      <c r="B110" s="4"/>
      <c r="C110" s="11" t="s">
        <v>140</v>
      </c>
      <c r="D110" s="4"/>
      <c r="E110" s="5">
        <f>SUM(E4:E109)</f>
        <v>373103411</v>
      </c>
      <c r="F110" s="5" t="s">
        <v>1</v>
      </c>
      <c r="G110" s="5">
        <f>SUM(G4:G109)</f>
        <v>367694229.86666667</v>
      </c>
      <c r="H110" s="5">
        <f>SUM(H5:H104)</f>
        <v>4661373.333333334</v>
      </c>
      <c r="I110" s="5">
        <f>SUM(I5:I104)</f>
        <v>13633987</v>
      </c>
      <c r="J110" s="5">
        <f>SUM(J4:J109)</f>
        <v>3690727.1333333333</v>
      </c>
      <c r="K110" s="5">
        <f>SUM(K5:K104)</f>
        <v>374296740.33333331</v>
      </c>
      <c r="L110" s="5">
        <f>SUM(L5:L104)</f>
        <v>14019972.239999998</v>
      </c>
      <c r="M110" s="5">
        <f>SUM(M5:M104)</f>
        <v>17168497.57</v>
      </c>
      <c r="N110" s="5">
        <f>SUM(N5:N104)</f>
        <v>102400</v>
      </c>
      <c r="O110" s="5">
        <f>SUM(O4:O109)</f>
        <v>2500000</v>
      </c>
      <c r="P110" s="5">
        <f>SUM(P4:P109)</f>
        <v>5324814</v>
      </c>
      <c r="Q110" s="5">
        <f>SUM(Q5:Q104)</f>
        <v>9700000</v>
      </c>
      <c r="R110" s="5">
        <f>SUM(R5:R104)</f>
        <v>1072945</v>
      </c>
      <c r="S110" s="5">
        <f>SUM(S5:S104)</f>
        <v>9942832</v>
      </c>
      <c r="T110" s="5">
        <f>SUM(T5:T104)</f>
        <v>59668460.809999995</v>
      </c>
      <c r="U110" s="7">
        <f>SUM(U4:U109)</f>
        <v>328213785.85666656</v>
      </c>
      <c r="V110" s="7">
        <f>SUM(V5:V104)</f>
        <v>0</v>
      </c>
      <c r="W110" s="44">
        <f>SUM(W5:W104)</f>
        <v>0</v>
      </c>
      <c r="X110" s="7">
        <f>SUM(X4:X109)</f>
        <v>328213785.85666656</v>
      </c>
    </row>
    <row r="111" spans="1:24" x14ac:dyDescent="0.25">
      <c r="E111" s="54"/>
      <c r="F111" s="54"/>
      <c r="G111" s="54"/>
      <c r="U111" s="55"/>
      <c r="V111" s="55"/>
      <c r="X111" s="55"/>
    </row>
    <row r="112" spans="1:24" x14ac:dyDescent="0.25">
      <c r="D112" s="53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7"/>
      <c r="V112" s="53"/>
      <c r="W112" s="58"/>
      <c r="X112" s="57"/>
    </row>
    <row r="113" spans="2:28" x14ac:dyDescent="0.25">
      <c r="D113" s="53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3"/>
      <c r="V113" s="53"/>
      <c r="W113" s="58"/>
      <c r="X113" s="57"/>
    </row>
    <row r="114" spans="2:28" x14ac:dyDescent="0.25">
      <c r="C114" s="59"/>
      <c r="D114" s="53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3"/>
      <c r="V114" s="53"/>
      <c r="W114" s="58"/>
      <c r="X114" s="57"/>
    </row>
    <row r="115" spans="2:28" x14ac:dyDescent="0.25">
      <c r="C115" s="59"/>
      <c r="D115" s="53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3"/>
      <c r="V115" s="53"/>
      <c r="W115" s="58"/>
      <c r="X115" s="53"/>
      <c r="Y115" s="53"/>
      <c r="Z115" s="53"/>
      <c r="AA115" s="53"/>
      <c r="AB115" s="53"/>
    </row>
    <row r="116" spans="2:28" x14ac:dyDescent="0.25">
      <c r="B116" s="53"/>
      <c r="C116" s="59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54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53"/>
      <c r="Z116" s="53"/>
      <c r="AA116" s="53"/>
      <c r="AB116" s="53"/>
    </row>
    <row r="117" spans="2:28" x14ac:dyDescent="0.25">
      <c r="B117" s="53"/>
      <c r="C117" s="59"/>
      <c r="D117" s="53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3"/>
      <c r="V117" s="53"/>
      <c r="W117" s="58"/>
      <c r="X117" s="53"/>
      <c r="Y117" s="53"/>
      <c r="Z117" s="53"/>
      <c r="AA117" s="53"/>
      <c r="AB117" s="53"/>
    </row>
    <row r="118" spans="2:28" x14ac:dyDescent="0.25">
      <c r="B118" s="53"/>
      <c r="C118" s="59"/>
      <c r="D118" s="53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3"/>
      <c r="V118" s="53"/>
      <c r="W118" s="58"/>
      <c r="X118" s="53"/>
      <c r="Y118" s="53"/>
      <c r="Z118" s="53"/>
      <c r="AA118" s="53"/>
      <c r="AB118" s="53"/>
    </row>
    <row r="119" spans="2:28" x14ac:dyDescent="0.25">
      <c r="B119" s="53"/>
      <c r="C119" s="59"/>
      <c r="D119" s="53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3"/>
      <c r="V119" s="53"/>
      <c r="W119" s="58"/>
      <c r="X119" s="53"/>
      <c r="Y119" s="53"/>
      <c r="Z119" s="53"/>
      <c r="AA119" s="53"/>
      <c r="AB119" s="53"/>
    </row>
    <row r="120" spans="2:28" x14ac:dyDescent="0.25">
      <c r="B120" s="53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2"/>
      <c r="W120" s="63"/>
      <c r="X120" s="62"/>
      <c r="Y120" s="53"/>
      <c r="Z120" s="53"/>
      <c r="AA120" s="53"/>
      <c r="AB120" s="53"/>
    </row>
    <row r="121" spans="2:28" x14ac:dyDescent="0.25">
      <c r="B121" s="64"/>
      <c r="C121" s="59"/>
      <c r="D121" s="62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2"/>
      <c r="V121" s="62"/>
      <c r="W121" s="63"/>
      <c r="X121" s="62"/>
      <c r="Y121" s="53"/>
      <c r="Z121" s="53"/>
      <c r="AA121" s="53"/>
      <c r="AB121" s="53"/>
    </row>
    <row r="122" spans="2:28" x14ac:dyDescent="0.25">
      <c r="B122" s="53"/>
      <c r="C122" s="59"/>
      <c r="D122" s="53"/>
      <c r="E122" s="54"/>
      <c r="F122" s="54"/>
      <c r="G122" s="66"/>
      <c r="H122" s="54"/>
      <c r="I122" s="54"/>
      <c r="J122" s="54"/>
      <c r="K122" s="54"/>
      <c r="L122" s="54"/>
      <c r="M122" s="54"/>
      <c r="N122" s="67"/>
      <c r="O122" s="67"/>
      <c r="P122" s="67"/>
      <c r="Q122" s="67"/>
      <c r="R122" s="67"/>
      <c r="S122" s="54"/>
      <c r="T122" s="54"/>
      <c r="U122" s="53"/>
      <c r="V122" s="53"/>
      <c r="W122" s="58"/>
      <c r="X122" s="53"/>
      <c r="Y122" s="53"/>
      <c r="Z122" s="53"/>
      <c r="AA122" s="53"/>
      <c r="AB122" s="53"/>
    </row>
    <row r="123" spans="2:28" x14ac:dyDescent="0.25">
      <c r="B123" s="53"/>
      <c r="C123" s="68"/>
      <c r="D123" s="62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2"/>
      <c r="V123" s="62"/>
      <c r="W123" s="63"/>
      <c r="X123" s="62"/>
      <c r="Y123" s="53"/>
      <c r="Z123" s="53"/>
      <c r="AA123" s="53"/>
      <c r="AB123" s="53"/>
    </row>
    <row r="124" spans="2:28" x14ac:dyDescent="0.25">
      <c r="B124" s="62"/>
      <c r="C124" s="68"/>
      <c r="D124" s="62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2"/>
      <c r="V124" s="62"/>
      <c r="W124" s="63"/>
      <c r="X124" s="62"/>
      <c r="Y124" s="53"/>
      <c r="Z124" s="53"/>
      <c r="AA124" s="53"/>
      <c r="AB124" s="53"/>
    </row>
    <row r="125" spans="2:28" x14ac:dyDescent="0.25">
      <c r="B125" s="53"/>
      <c r="C125" s="68"/>
      <c r="D125" s="62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7"/>
      <c r="V125" s="57"/>
      <c r="W125" s="58"/>
      <c r="X125" s="57"/>
      <c r="Y125" s="53"/>
      <c r="Z125" s="53"/>
      <c r="AA125" s="53"/>
      <c r="AB125" s="53"/>
    </row>
    <row r="126" spans="2:28" x14ac:dyDescent="0.25">
      <c r="C126" s="68"/>
      <c r="D126" s="62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7"/>
      <c r="V126" s="57"/>
      <c r="W126" s="58"/>
      <c r="X126" s="57"/>
      <c r="Y126" s="53"/>
      <c r="Z126" s="53"/>
      <c r="AA126" s="53"/>
      <c r="AB126" s="53"/>
    </row>
    <row r="127" spans="2:28" x14ac:dyDescent="0.25">
      <c r="C127" s="68"/>
      <c r="D127" s="62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7"/>
      <c r="V127" s="57"/>
      <c r="W127" s="58"/>
      <c r="X127" s="57"/>
      <c r="Y127" s="53"/>
      <c r="Z127" s="53"/>
      <c r="AA127" s="53"/>
      <c r="AB127" s="53"/>
    </row>
    <row r="128" spans="2:28" x14ac:dyDescent="0.25">
      <c r="C128" s="68"/>
      <c r="D128" s="62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7"/>
      <c r="V128" s="57"/>
      <c r="W128" s="58"/>
      <c r="X128" s="57"/>
      <c r="Y128" s="53"/>
      <c r="Z128" s="53"/>
      <c r="AA128" s="53"/>
      <c r="AB128" s="53"/>
    </row>
    <row r="129" spans="3:28" x14ac:dyDescent="0.25">
      <c r="C129" s="68"/>
      <c r="D129" s="62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7"/>
      <c r="V129" s="57"/>
      <c r="W129" s="58"/>
      <c r="X129" s="57"/>
      <c r="Y129" s="53"/>
      <c r="Z129" s="53"/>
      <c r="AA129" s="53"/>
      <c r="AB129" s="53"/>
    </row>
    <row r="130" spans="3:28" x14ac:dyDescent="0.25">
      <c r="C130" s="68"/>
      <c r="D130" s="62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7"/>
      <c r="V130" s="57"/>
      <c r="W130" s="58"/>
      <c r="X130" s="57"/>
      <c r="Y130" s="53"/>
      <c r="Z130" s="53"/>
      <c r="AA130" s="53"/>
      <c r="AB130" s="53"/>
    </row>
    <row r="131" spans="3:28" x14ac:dyDescent="0.25">
      <c r="C131" s="59"/>
      <c r="D131" s="53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7"/>
      <c r="V131" s="57"/>
      <c r="W131" s="58"/>
      <c r="X131" s="57"/>
      <c r="Y131" s="53"/>
      <c r="Z131" s="53"/>
      <c r="AA131" s="53"/>
      <c r="AB131" s="53"/>
    </row>
    <row r="132" spans="3:28" x14ac:dyDescent="0.25">
      <c r="C132" s="68"/>
      <c r="D132" s="53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7"/>
      <c r="V132" s="57"/>
      <c r="W132" s="58"/>
      <c r="X132" s="57"/>
      <c r="Y132" s="53"/>
      <c r="Z132" s="53"/>
      <c r="AA132" s="53"/>
      <c r="AB132" s="53"/>
    </row>
    <row r="133" spans="3:28" x14ac:dyDescent="0.25">
      <c r="C133" s="68"/>
      <c r="D133" s="53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7"/>
      <c r="V133" s="57"/>
      <c r="W133" s="58"/>
      <c r="X133" s="57"/>
      <c r="Y133" s="53"/>
      <c r="Z133" s="53"/>
      <c r="AA133" s="53"/>
      <c r="AB133" s="53"/>
    </row>
    <row r="134" spans="3:28" x14ac:dyDescent="0.25">
      <c r="C134" s="68"/>
      <c r="D134" s="53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7"/>
      <c r="V134" s="57"/>
      <c r="W134" s="58"/>
      <c r="X134" s="57"/>
      <c r="Y134" s="53"/>
      <c r="Z134" s="53"/>
      <c r="AA134" s="53"/>
      <c r="AB134" s="53"/>
    </row>
    <row r="135" spans="3:28" x14ac:dyDescent="0.25">
      <c r="C135" s="68"/>
      <c r="D135" s="53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7"/>
      <c r="V135" s="57"/>
      <c r="W135" s="58"/>
      <c r="X135" s="57"/>
      <c r="Y135" s="53"/>
      <c r="Z135" s="53"/>
      <c r="AA135" s="53"/>
      <c r="AB135" s="53"/>
    </row>
    <row r="136" spans="3:28" x14ac:dyDescent="0.25">
      <c r="C136" s="68"/>
      <c r="D136" s="53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7"/>
      <c r="V136" s="57"/>
      <c r="W136" s="58"/>
      <c r="X136" s="57"/>
      <c r="Y136" s="53"/>
      <c r="Z136" s="53"/>
      <c r="AA136" s="53"/>
      <c r="AB136" s="53"/>
    </row>
    <row r="137" spans="3:28" x14ac:dyDescent="0.25">
      <c r="C137" s="68"/>
      <c r="D137" s="53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7"/>
      <c r="V137" s="57"/>
      <c r="W137" s="58"/>
      <c r="X137" s="57"/>
      <c r="Y137" s="53"/>
      <c r="Z137" s="53"/>
      <c r="AA137" s="53"/>
      <c r="AB137" s="53"/>
    </row>
    <row r="138" spans="3:28" x14ac:dyDescent="0.25">
      <c r="C138" s="68"/>
      <c r="D138" s="53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7"/>
      <c r="V138" s="57"/>
      <c r="W138" s="58"/>
      <c r="X138" s="57"/>
      <c r="Y138" s="53"/>
      <c r="Z138" s="53"/>
      <c r="AA138" s="53"/>
      <c r="AB138" s="53"/>
    </row>
    <row r="139" spans="3:28" x14ac:dyDescent="0.25">
      <c r="C139" s="68"/>
      <c r="D139" s="53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7"/>
      <c r="V139" s="57"/>
      <c r="W139" s="58"/>
      <c r="X139" s="57"/>
      <c r="Y139" s="53"/>
      <c r="Z139" s="53"/>
      <c r="AA139" s="53"/>
      <c r="AB139" s="53"/>
    </row>
    <row r="140" spans="3:28" x14ac:dyDescent="0.25">
      <c r="C140" s="68"/>
      <c r="D140" s="53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7"/>
      <c r="V140" s="57"/>
      <c r="W140" s="58"/>
      <c r="X140" s="57"/>
      <c r="Y140" s="53"/>
      <c r="Z140" s="53"/>
      <c r="AA140" s="53"/>
      <c r="AB140" s="53"/>
    </row>
    <row r="141" spans="3:28" x14ac:dyDescent="0.25">
      <c r="C141" s="68"/>
      <c r="D141" s="53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7"/>
      <c r="V141" s="57"/>
      <c r="W141" s="58"/>
      <c r="X141" s="57"/>
      <c r="Y141" s="53"/>
      <c r="Z141" s="53"/>
      <c r="AA141" s="53"/>
      <c r="AB141" s="53"/>
    </row>
    <row r="142" spans="3:28" x14ac:dyDescent="0.25">
      <c r="C142" s="68"/>
      <c r="D142" s="53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7"/>
      <c r="V142" s="57"/>
      <c r="W142" s="58"/>
      <c r="X142" s="57"/>
      <c r="Y142" s="53"/>
      <c r="Z142" s="53"/>
      <c r="AA142" s="53"/>
      <c r="AB142" s="53"/>
    </row>
    <row r="143" spans="3:28" x14ac:dyDescent="0.25">
      <c r="C143" s="59"/>
      <c r="D143" s="53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3"/>
      <c r="V143" s="53"/>
      <c r="W143" s="58"/>
      <c r="X143" s="53"/>
      <c r="Y143" s="53"/>
      <c r="Z143" s="53"/>
      <c r="AA143" s="53"/>
      <c r="AB143" s="53"/>
    </row>
    <row r="144" spans="3:28" x14ac:dyDescent="0.25">
      <c r="C144" s="59"/>
      <c r="D144" s="53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53"/>
      <c r="S144" s="54"/>
      <c r="T144" s="54"/>
      <c r="U144" s="53"/>
      <c r="V144" s="53"/>
      <c r="W144" s="58"/>
      <c r="X144" s="53"/>
      <c r="Y144" s="53"/>
      <c r="Z144" s="53"/>
      <c r="AA144" s="53"/>
      <c r="AB144" s="53"/>
    </row>
    <row r="145" spans="2:28" x14ac:dyDescent="0.25">
      <c r="B145" s="53"/>
      <c r="C145" s="59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53"/>
      <c r="Z145" s="53"/>
      <c r="AA145" s="53"/>
      <c r="AB145" s="53"/>
    </row>
    <row r="146" spans="2:28" x14ac:dyDescent="0.25">
      <c r="B146" s="53"/>
      <c r="C146" s="59"/>
      <c r="D146" s="53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2"/>
      <c r="V146" s="62"/>
      <c r="W146" s="63"/>
      <c r="X146" s="62"/>
      <c r="Y146" s="53"/>
      <c r="Z146" s="53"/>
      <c r="AA146" s="53"/>
      <c r="AB146" s="53"/>
    </row>
    <row r="147" spans="2:28" x14ac:dyDescent="0.25">
      <c r="B147" s="53"/>
      <c r="C147" s="68"/>
      <c r="D147" s="62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2"/>
      <c r="V147" s="62"/>
      <c r="W147" s="63"/>
      <c r="X147" s="62"/>
    </row>
    <row r="148" spans="2:28" x14ac:dyDescent="0.25">
      <c r="B148" s="69"/>
      <c r="C148" s="68"/>
      <c r="D148" s="62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2"/>
      <c r="V148" s="62"/>
      <c r="W148" s="63"/>
      <c r="X148" s="62"/>
    </row>
    <row r="149" spans="2:28" x14ac:dyDescent="0.25">
      <c r="C149" s="68"/>
      <c r="D149" s="62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7"/>
      <c r="V149" s="57"/>
      <c r="W149" s="58"/>
      <c r="X149" s="57"/>
    </row>
    <row r="150" spans="2:28" x14ac:dyDescent="0.25">
      <c r="C150" s="68"/>
      <c r="D150" s="62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7"/>
      <c r="V150" s="57"/>
      <c r="W150" s="58"/>
      <c r="X150" s="57"/>
    </row>
    <row r="151" spans="2:28" x14ac:dyDescent="0.25">
      <c r="C151" s="68"/>
      <c r="D151" s="62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7"/>
      <c r="V151" s="57"/>
      <c r="W151" s="58"/>
      <c r="X151" s="57"/>
    </row>
    <row r="152" spans="2:28" x14ac:dyDescent="0.25">
      <c r="C152" s="59"/>
      <c r="D152" s="53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7"/>
      <c r="V152" s="57"/>
      <c r="W152" s="58"/>
      <c r="X152" s="57"/>
    </row>
    <row r="153" spans="2:28" x14ac:dyDescent="0.25">
      <c r="C153" s="68"/>
      <c r="D153" s="53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7"/>
      <c r="V153" s="57"/>
      <c r="W153" s="58"/>
      <c r="X153" s="57"/>
    </row>
    <row r="154" spans="2:28" x14ac:dyDescent="0.25">
      <c r="C154" s="59"/>
      <c r="D154" s="53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3"/>
      <c r="V154" s="53"/>
      <c r="W154" s="58"/>
      <c r="X154" s="53"/>
    </row>
    <row r="155" spans="2:28" x14ac:dyDescent="0.25">
      <c r="C155" s="59"/>
      <c r="D155" s="53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7"/>
      <c r="V155" s="57"/>
      <c r="W155" s="58"/>
      <c r="X155" s="57"/>
    </row>
    <row r="156" spans="2:28" x14ac:dyDescent="0.25">
      <c r="B156" s="53"/>
      <c r="C156" s="59"/>
      <c r="D156" s="53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3"/>
      <c r="V156" s="53"/>
      <c r="W156" s="58"/>
      <c r="X156" s="53"/>
    </row>
    <row r="157" spans="2:28" x14ac:dyDescent="0.25">
      <c r="B157" s="53"/>
      <c r="C157" s="59"/>
      <c r="D157" s="53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3"/>
      <c r="V157" s="53"/>
      <c r="W157" s="58"/>
      <c r="X157" s="53"/>
    </row>
    <row r="158" spans="2:28" x14ac:dyDescent="0.25">
      <c r="B158" s="53"/>
      <c r="C158" s="59"/>
      <c r="D158" s="53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70"/>
      <c r="V158" s="70"/>
      <c r="W158" s="58"/>
      <c r="X158" s="70"/>
    </row>
    <row r="159" spans="2:28" x14ac:dyDescent="0.25">
      <c r="B159" s="53"/>
      <c r="C159" s="59"/>
      <c r="D159" s="53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71"/>
      <c r="V159" s="71"/>
      <c r="W159" s="58"/>
      <c r="X159" s="71"/>
    </row>
    <row r="160" spans="2:28" x14ac:dyDescent="0.25">
      <c r="C160" s="59"/>
      <c r="D160" s="53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3"/>
      <c r="V160" s="53"/>
      <c r="W160" s="58"/>
      <c r="X160" s="53"/>
    </row>
    <row r="161" spans="3:24" x14ac:dyDescent="0.25">
      <c r="C161" s="59"/>
      <c r="D161" s="53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3"/>
      <c r="V161" s="53"/>
      <c r="W161" s="58"/>
      <c r="X161" s="53"/>
    </row>
    <row r="162" spans="3:24" x14ac:dyDescent="0.25">
      <c r="C162" s="59"/>
      <c r="D162" s="53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3"/>
      <c r="V162" s="53"/>
      <c r="W162" s="58"/>
      <c r="X162" s="53"/>
    </row>
    <row r="163" spans="3:24" x14ac:dyDescent="0.25">
      <c r="C163" s="59"/>
      <c r="D163" s="53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3"/>
      <c r="V163" s="53"/>
      <c r="W163" s="58"/>
      <c r="X163" s="53"/>
    </row>
    <row r="164" spans="3:24" x14ac:dyDescent="0.25">
      <c r="C164" s="59"/>
      <c r="D164" s="53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3"/>
      <c r="V164" s="53"/>
      <c r="W164" s="58"/>
      <c r="X164" s="53"/>
    </row>
    <row r="165" spans="3:24" x14ac:dyDescent="0.25">
      <c r="C165" s="59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3"/>
      <c r="V165" s="53"/>
      <c r="W165" s="58"/>
      <c r="X165" s="53"/>
    </row>
    <row r="166" spans="3:24" x14ac:dyDescent="0.25">
      <c r="C166" s="59"/>
      <c r="D166" s="53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3"/>
      <c r="V166" s="53"/>
      <c r="W166" s="58"/>
      <c r="X166" s="53"/>
    </row>
    <row r="167" spans="3:24" x14ac:dyDescent="0.25">
      <c r="C167" s="59"/>
      <c r="D167" s="53"/>
      <c r="E167" s="54"/>
      <c r="F167" s="54"/>
      <c r="G167" s="54"/>
      <c r="H167" s="54"/>
      <c r="I167" s="54"/>
      <c r="J167" s="54"/>
      <c r="K167" s="54"/>
      <c r="L167" s="54">
        <v>3003000</v>
      </c>
      <c r="M167" s="54"/>
      <c r="N167" s="54"/>
      <c r="O167" s="54"/>
      <c r="P167" s="54"/>
      <c r="Q167" s="54"/>
      <c r="R167" s="54"/>
      <c r="S167" s="54"/>
      <c r="T167" s="54"/>
      <c r="U167" s="53"/>
      <c r="V167" s="53"/>
      <c r="W167" s="58"/>
      <c r="X167" s="53"/>
    </row>
    <row r="168" spans="3:24" x14ac:dyDescent="0.25">
      <c r="C168" s="68"/>
      <c r="D168" s="53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3"/>
      <c r="V168" s="53"/>
      <c r="W168" s="58"/>
      <c r="X168" s="53"/>
    </row>
    <row r="169" spans="3:24" x14ac:dyDescent="0.25">
      <c r="C169" s="68"/>
      <c r="D169" s="53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3"/>
      <c r="V169" s="53"/>
      <c r="W169" s="58"/>
      <c r="X169" s="53"/>
    </row>
    <row r="170" spans="3:24" x14ac:dyDescent="0.25">
      <c r="C170" s="68"/>
      <c r="D170" s="53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3"/>
      <c r="V170" s="53"/>
      <c r="W170" s="58"/>
      <c r="X170" s="53"/>
    </row>
    <row r="171" spans="3:24" x14ac:dyDescent="0.25">
      <c r="C171" s="68"/>
      <c r="D171" s="53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3"/>
      <c r="V171" s="53"/>
      <c r="W171" s="58"/>
      <c r="X171" s="53"/>
    </row>
    <row r="172" spans="3:24" x14ac:dyDescent="0.25">
      <c r="C172" s="59">
        <v>42614840</v>
      </c>
      <c r="D172" s="53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>
        <v>412608</v>
      </c>
      <c r="U172" s="53"/>
      <c r="V172" s="53"/>
      <c r="W172" s="58"/>
      <c r="X172" s="53"/>
    </row>
    <row r="173" spans="3:24" x14ac:dyDescent="0.25">
      <c r="C173" s="59">
        <v>9675182</v>
      </c>
      <c r="D173" s="53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>
        <v>1880000</v>
      </c>
      <c r="U173" s="53"/>
      <c r="V173" s="53"/>
      <c r="W173" s="58"/>
      <c r="X173" s="53"/>
    </row>
    <row r="174" spans="3:24" x14ac:dyDescent="0.25">
      <c r="C174" s="59">
        <v>17903600</v>
      </c>
      <c r="D174" s="53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3"/>
      <c r="V174" s="53"/>
      <c r="W174" s="58"/>
      <c r="X174" s="53"/>
    </row>
    <row r="175" spans="3:24" x14ac:dyDescent="0.25">
      <c r="C175" s="59">
        <f>SUM(C172:C174)</f>
        <v>70193622</v>
      </c>
      <c r="D175" s="53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3"/>
      <c r="V175" s="53"/>
      <c r="W175" s="58"/>
      <c r="X175" s="53"/>
    </row>
    <row r="176" spans="3:24" x14ac:dyDescent="0.25">
      <c r="C176" s="59">
        <v>400000</v>
      </c>
      <c r="D176" s="53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3"/>
      <c r="V176" s="53"/>
      <c r="W176" s="58"/>
      <c r="X176" s="53"/>
    </row>
    <row r="177" spans="3:24" x14ac:dyDescent="0.25">
      <c r="C177" s="59">
        <f>+C175+C176</f>
        <v>70593622</v>
      </c>
      <c r="D177" s="53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3"/>
      <c r="V177" s="53"/>
      <c r="W177" s="58"/>
      <c r="X177" s="53"/>
    </row>
    <row r="180" spans="3:24" x14ac:dyDescent="0.25">
      <c r="C180" s="52">
        <v>64000000</v>
      </c>
    </row>
    <row r="181" spans="3:24" x14ac:dyDescent="0.25">
      <c r="C181" s="52">
        <v>11000000</v>
      </c>
    </row>
    <row r="182" spans="3:24" x14ac:dyDescent="0.25">
      <c r="C182" s="52">
        <f>+C180+C181</f>
        <v>75000000</v>
      </c>
    </row>
    <row r="186" spans="3:24" x14ac:dyDescent="0.25">
      <c r="C186" s="52">
        <v>2745000</v>
      </c>
    </row>
    <row r="187" spans="3:24" x14ac:dyDescent="0.25">
      <c r="C187" s="52">
        <v>3185000</v>
      </c>
    </row>
    <row r="188" spans="3:24" x14ac:dyDescent="0.25">
      <c r="C188" s="52">
        <v>1080000</v>
      </c>
    </row>
    <row r="189" spans="3:24" x14ac:dyDescent="0.25">
      <c r="C189" s="52">
        <v>4850100</v>
      </c>
    </row>
    <row r="190" spans="3:24" x14ac:dyDescent="0.25">
      <c r="C190" s="52">
        <v>5027500</v>
      </c>
    </row>
    <row r="191" spans="3:24" x14ac:dyDescent="0.25">
      <c r="C191" s="52">
        <v>4566000</v>
      </c>
    </row>
    <row r="192" spans="3:24" x14ac:dyDescent="0.25">
      <c r="C192" s="52">
        <v>1050000</v>
      </c>
    </row>
    <row r="193" spans="3:3" x14ac:dyDescent="0.25">
      <c r="C193" s="52">
        <v>3877333</v>
      </c>
    </row>
    <row r="194" spans="3:3" x14ac:dyDescent="0.25">
      <c r="C194" s="52">
        <v>6732440</v>
      </c>
    </row>
    <row r="195" spans="3:3" x14ac:dyDescent="0.25">
      <c r="C195" s="52">
        <v>3460000</v>
      </c>
    </row>
    <row r="196" spans="3:3" x14ac:dyDescent="0.25">
      <c r="C196" s="52">
        <v>588800</v>
      </c>
    </row>
    <row r="197" spans="3:3" x14ac:dyDescent="0.25">
      <c r="C197" s="52">
        <v>1868000</v>
      </c>
    </row>
    <row r="198" spans="3:3" x14ac:dyDescent="0.25">
      <c r="C198" s="52">
        <v>10313000</v>
      </c>
    </row>
    <row r="199" spans="3:3" x14ac:dyDescent="0.25">
      <c r="C199" s="52">
        <v>3443800</v>
      </c>
    </row>
    <row r="200" spans="3:3" x14ac:dyDescent="0.25">
      <c r="C200" s="52">
        <v>8136400</v>
      </c>
    </row>
    <row r="201" spans="3:3" x14ac:dyDescent="0.25">
      <c r="C201" s="52">
        <v>9675183</v>
      </c>
    </row>
    <row r="202" spans="3:3" x14ac:dyDescent="0.25">
      <c r="C202" s="52">
        <f>SUM(C186:C201)</f>
        <v>70598556</v>
      </c>
    </row>
  </sheetData>
  <mergeCells count="7">
    <mergeCell ref="D145:X145"/>
    <mergeCell ref="C1:U1"/>
    <mergeCell ref="E2:K2"/>
    <mergeCell ref="L2:T2"/>
    <mergeCell ref="A3:A49"/>
    <mergeCell ref="A50:A109"/>
    <mergeCell ref="E144:Q1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2F656-F20D-4EC4-B7FE-1CC6D84AD79C}">
  <dimension ref="A1:AB197"/>
  <sheetViews>
    <sheetView topLeftCell="A67" workbookViewId="0">
      <selection activeCell="J79" sqref="J79"/>
    </sheetView>
  </sheetViews>
  <sheetFormatPr baseColWidth="10" defaultRowHeight="12" x14ac:dyDescent="0.25"/>
  <cols>
    <col min="1" max="1" width="10.42578125" style="45" customWidth="1"/>
    <col min="2" max="2" width="4.85546875" style="45" customWidth="1"/>
    <col min="3" max="3" width="32.7109375" style="52" customWidth="1"/>
    <col min="4" max="4" width="8.5703125" style="45" customWidth="1"/>
    <col min="5" max="5" width="10.85546875" style="47" customWidth="1"/>
    <col min="6" max="6" width="4.42578125" style="47" customWidth="1"/>
    <col min="7" max="7" width="13" style="47" customWidth="1"/>
    <col min="8" max="8" width="11.28515625" style="47" bestFit="1" customWidth="1"/>
    <col min="9" max="10" width="12.28515625" style="47" bestFit="1" customWidth="1"/>
    <col min="11" max="11" width="13.28515625" style="47" bestFit="1" customWidth="1"/>
    <col min="12" max="13" width="12.28515625" style="47" bestFit="1" customWidth="1"/>
    <col min="14" max="14" width="9.85546875" style="47" bestFit="1" customWidth="1"/>
    <col min="15" max="16" width="11.28515625" style="47" bestFit="1" customWidth="1"/>
    <col min="17" max="17" width="12.28515625" style="47" bestFit="1" customWidth="1"/>
    <col min="18" max="18" width="11.28515625" style="47" bestFit="1" customWidth="1"/>
    <col min="19" max="20" width="12.28515625" style="47" bestFit="1" customWidth="1"/>
    <col min="21" max="21" width="13.42578125" style="45" customWidth="1"/>
    <col min="22" max="22" width="4.42578125" style="45" customWidth="1"/>
    <col min="23" max="23" width="7.28515625" style="56" customWidth="1"/>
    <col min="24" max="24" width="14.28515625" style="45" customWidth="1"/>
    <col min="25" max="246" width="11.42578125" style="45"/>
    <col min="247" max="247" width="10.5703125" style="45" customWidth="1"/>
    <col min="248" max="248" width="4.85546875" style="45" customWidth="1"/>
    <col min="249" max="249" width="32.42578125" style="45" customWidth="1"/>
    <col min="250" max="250" width="9.85546875" style="45" customWidth="1"/>
    <col min="251" max="251" width="10.140625" style="45" customWidth="1"/>
    <col min="252" max="252" width="12.28515625" style="45" customWidth="1"/>
    <col min="253" max="253" width="15.42578125" style="45" customWidth="1"/>
    <col min="254" max="254" width="11.85546875" style="45" customWidth="1"/>
    <col min="255" max="255" width="13.28515625" style="45" customWidth="1"/>
    <col min="256" max="256" width="15.28515625" style="45" customWidth="1"/>
    <col min="257" max="257" width="11.85546875" style="45" customWidth="1"/>
    <col min="258" max="258" width="6.140625" style="45" customWidth="1"/>
    <col min="259" max="259" width="11.85546875" style="45" customWidth="1"/>
    <col min="260" max="260" width="9.42578125" style="45" customWidth="1"/>
    <col min="261" max="261" width="14.7109375" style="45" customWidth="1"/>
    <col min="262" max="262" width="11.5703125" style="45" customWidth="1"/>
    <col min="263" max="263" width="0.42578125" style="45" customWidth="1"/>
    <col min="264" max="264" width="10.5703125" style="45" bestFit="1" customWidth="1"/>
    <col min="265" max="265" width="12.28515625" style="45" customWidth="1"/>
    <col min="266" max="266" width="12.5703125" style="45" customWidth="1"/>
    <col min="267" max="267" width="10.5703125" style="45" customWidth="1"/>
    <col min="268" max="268" width="10.140625" style="45" customWidth="1"/>
    <col min="269" max="269" width="8.42578125" style="45" customWidth="1"/>
    <col min="270" max="270" width="18.85546875" style="45" customWidth="1"/>
    <col min="271" max="271" width="10.28515625" style="45" customWidth="1"/>
    <col min="272" max="272" width="11.42578125" style="45"/>
    <col min="273" max="273" width="12.140625" style="45" customWidth="1"/>
    <col min="274" max="274" width="10.5703125" style="45" customWidth="1"/>
    <col min="275" max="275" width="12.42578125" style="45" customWidth="1"/>
    <col min="276" max="276" width="15.140625" style="45" customWidth="1"/>
    <col min="277" max="277" width="13.5703125" style="45" customWidth="1"/>
    <col min="278" max="278" width="13.140625" style="45" customWidth="1"/>
    <col min="279" max="279" width="15.7109375" style="45" customWidth="1"/>
    <col min="280" max="280" width="37.5703125" style="45" customWidth="1"/>
    <col min="281" max="502" width="11.42578125" style="45"/>
    <col min="503" max="503" width="10.5703125" style="45" customWidth="1"/>
    <col min="504" max="504" width="4.85546875" style="45" customWidth="1"/>
    <col min="505" max="505" width="32.42578125" style="45" customWidth="1"/>
    <col min="506" max="506" width="9.85546875" style="45" customWidth="1"/>
    <col min="507" max="507" width="10.140625" style="45" customWidth="1"/>
    <col min="508" max="508" width="12.28515625" style="45" customWidth="1"/>
    <col min="509" max="509" width="15.42578125" style="45" customWidth="1"/>
    <col min="510" max="510" width="11.85546875" style="45" customWidth="1"/>
    <col min="511" max="511" width="13.28515625" style="45" customWidth="1"/>
    <col min="512" max="512" width="15.28515625" style="45" customWidth="1"/>
    <col min="513" max="513" width="11.85546875" style="45" customWidth="1"/>
    <col min="514" max="514" width="6.140625" style="45" customWidth="1"/>
    <col min="515" max="515" width="11.85546875" style="45" customWidth="1"/>
    <col min="516" max="516" width="9.42578125" style="45" customWidth="1"/>
    <col min="517" max="517" width="14.7109375" style="45" customWidth="1"/>
    <col min="518" max="518" width="11.5703125" style="45" customWidth="1"/>
    <col min="519" max="519" width="0.42578125" style="45" customWidth="1"/>
    <col min="520" max="520" width="10.5703125" style="45" bestFit="1" customWidth="1"/>
    <col min="521" max="521" width="12.28515625" style="45" customWidth="1"/>
    <col min="522" max="522" width="12.5703125" style="45" customWidth="1"/>
    <col min="523" max="523" width="10.5703125" style="45" customWidth="1"/>
    <col min="524" max="524" width="10.140625" style="45" customWidth="1"/>
    <col min="525" max="525" width="8.42578125" style="45" customWidth="1"/>
    <col min="526" max="526" width="18.85546875" style="45" customWidth="1"/>
    <col min="527" max="527" width="10.28515625" style="45" customWidth="1"/>
    <col min="528" max="528" width="11.42578125" style="45"/>
    <col min="529" max="529" width="12.140625" style="45" customWidth="1"/>
    <col min="530" max="530" width="10.5703125" style="45" customWidth="1"/>
    <col min="531" max="531" width="12.42578125" style="45" customWidth="1"/>
    <col min="532" max="532" width="15.140625" style="45" customWidth="1"/>
    <col min="533" max="533" width="13.5703125" style="45" customWidth="1"/>
    <col min="534" max="534" width="13.140625" style="45" customWidth="1"/>
    <col min="535" max="535" width="15.7109375" style="45" customWidth="1"/>
    <col min="536" max="536" width="37.5703125" style="45" customWidth="1"/>
    <col min="537" max="758" width="11.42578125" style="45"/>
    <col min="759" max="759" width="10.5703125" style="45" customWidth="1"/>
    <col min="760" max="760" width="4.85546875" style="45" customWidth="1"/>
    <col min="761" max="761" width="32.42578125" style="45" customWidth="1"/>
    <col min="762" max="762" width="9.85546875" style="45" customWidth="1"/>
    <col min="763" max="763" width="10.140625" style="45" customWidth="1"/>
    <col min="764" max="764" width="12.28515625" style="45" customWidth="1"/>
    <col min="765" max="765" width="15.42578125" style="45" customWidth="1"/>
    <col min="766" max="766" width="11.85546875" style="45" customWidth="1"/>
    <col min="767" max="767" width="13.28515625" style="45" customWidth="1"/>
    <col min="768" max="768" width="15.28515625" style="45" customWidth="1"/>
    <col min="769" max="769" width="11.85546875" style="45" customWidth="1"/>
    <col min="770" max="770" width="6.140625" style="45" customWidth="1"/>
    <col min="771" max="771" width="11.85546875" style="45" customWidth="1"/>
    <col min="772" max="772" width="9.42578125" style="45" customWidth="1"/>
    <col min="773" max="773" width="14.7109375" style="45" customWidth="1"/>
    <col min="774" max="774" width="11.5703125" style="45" customWidth="1"/>
    <col min="775" max="775" width="0.42578125" style="45" customWidth="1"/>
    <col min="776" max="776" width="10.5703125" style="45" bestFit="1" customWidth="1"/>
    <col min="777" max="777" width="12.28515625" style="45" customWidth="1"/>
    <col min="778" max="778" width="12.5703125" style="45" customWidth="1"/>
    <col min="779" max="779" width="10.5703125" style="45" customWidth="1"/>
    <col min="780" max="780" width="10.140625" style="45" customWidth="1"/>
    <col min="781" max="781" width="8.42578125" style="45" customWidth="1"/>
    <col min="782" max="782" width="18.85546875" style="45" customWidth="1"/>
    <col min="783" max="783" width="10.28515625" style="45" customWidth="1"/>
    <col min="784" max="784" width="11.42578125" style="45"/>
    <col min="785" max="785" width="12.140625" style="45" customWidth="1"/>
    <col min="786" max="786" width="10.5703125" style="45" customWidth="1"/>
    <col min="787" max="787" width="12.42578125" style="45" customWidth="1"/>
    <col min="788" max="788" width="15.140625" style="45" customWidth="1"/>
    <col min="789" max="789" width="13.5703125" style="45" customWidth="1"/>
    <col min="790" max="790" width="13.140625" style="45" customWidth="1"/>
    <col min="791" max="791" width="15.7109375" style="45" customWidth="1"/>
    <col min="792" max="792" width="37.5703125" style="45" customWidth="1"/>
    <col min="793" max="1014" width="11.42578125" style="45"/>
    <col min="1015" max="1015" width="10.5703125" style="45" customWidth="1"/>
    <col min="1016" max="1016" width="4.85546875" style="45" customWidth="1"/>
    <col min="1017" max="1017" width="32.42578125" style="45" customWidth="1"/>
    <col min="1018" max="1018" width="9.85546875" style="45" customWidth="1"/>
    <col min="1019" max="1019" width="10.140625" style="45" customWidth="1"/>
    <col min="1020" max="1020" width="12.28515625" style="45" customWidth="1"/>
    <col min="1021" max="1021" width="15.42578125" style="45" customWidth="1"/>
    <col min="1022" max="1022" width="11.85546875" style="45" customWidth="1"/>
    <col min="1023" max="1023" width="13.28515625" style="45" customWidth="1"/>
    <col min="1024" max="1024" width="15.28515625" style="45" customWidth="1"/>
    <col min="1025" max="1025" width="11.85546875" style="45" customWidth="1"/>
    <col min="1026" max="1026" width="6.140625" style="45" customWidth="1"/>
    <col min="1027" max="1027" width="11.85546875" style="45" customWidth="1"/>
    <col min="1028" max="1028" width="9.42578125" style="45" customWidth="1"/>
    <col min="1029" max="1029" width="14.7109375" style="45" customWidth="1"/>
    <col min="1030" max="1030" width="11.5703125" style="45" customWidth="1"/>
    <col min="1031" max="1031" width="0.42578125" style="45" customWidth="1"/>
    <col min="1032" max="1032" width="10.5703125" style="45" bestFit="1" customWidth="1"/>
    <col min="1033" max="1033" width="12.28515625" style="45" customWidth="1"/>
    <col min="1034" max="1034" width="12.5703125" style="45" customWidth="1"/>
    <col min="1035" max="1035" width="10.5703125" style="45" customWidth="1"/>
    <col min="1036" max="1036" width="10.140625" style="45" customWidth="1"/>
    <col min="1037" max="1037" width="8.42578125" style="45" customWidth="1"/>
    <col min="1038" max="1038" width="18.85546875" style="45" customWidth="1"/>
    <col min="1039" max="1039" width="10.28515625" style="45" customWidth="1"/>
    <col min="1040" max="1040" width="11.42578125" style="45"/>
    <col min="1041" max="1041" width="12.140625" style="45" customWidth="1"/>
    <col min="1042" max="1042" width="10.5703125" style="45" customWidth="1"/>
    <col min="1043" max="1043" width="12.42578125" style="45" customWidth="1"/>
    <col min="1044" max="1044" width="15.140625" style="45" customWidth="1"/>
    <col min="1045" max="1045" width="13.5703125" style="45" customWidth="1"/>
    <col min="1046" max="1046" width="13.140625" style="45" customWidth="1"/>
    <col min="1047" max="1047" width="15.7109375" style="45" customWidth="1"/>
    <col min="1048" max="1048" width="37.5703125" style="45" customWidth="1"/>
    <col min="1049" max="1270" width="11.42578125" style="45"/>
    <col min="1271" max="1271" width="10.5703125" style="45" customWidth="1"/>
    <col min="1272" max="1272" width="4.85546875" style="45" customWidth="1"/>
    <col min="1273" max="1273" width="32.42578125" style="45" customWidth="1"/>
    <col min="1274" max="1274" width="9.85546875" style="45" customWidth="1"/>
    <col min="1275" max="1275" width="10.140625" style="45" customWidth="1"/>
    <col min="1276" max="1276" width="12.28515625" style="45" customWidth="1"/>
    <col min="1277" max="1277" width="15.42578125" style="45" customWidth="1"/>
    <col min="1278" max="1278" width="11.85546875" style="45" customWidth="1"/>
    <col min="1279" max="1279" width="13.28515625" style="45" customWidth="1"/>
    <col min="1280" max="1280" width="15.28515625" style="45" customWidth="1"/>
    <col min="1281" max="1281" width="11.85546875" style="45" customWidth="1"/>
    <col min="1282" max="1282" width="6.140625" style="45" customWidth="1"/>
    <col min="1283" max="1283" width="11.85546875" style="45" customWidth="1"/>
    <col min="1284" max="1284" width="9.42578125" style="45" customWidth="1"/>
    <col min="1285" max="1285" width="14.7109375" style="45" customWidth="1"/>
    <col min="1286" max="1286" width="11.5703125" style="45" customWidth="1"/>
    <col min="1287" max="1287" width="0.42578125" style="45" customWidth="1"/>
    <col min="1288" max="1288" width="10.5703125" style="45" bestFit="1" customWidth="1"/>
    <col min="1289" max="1289" width="12.28515625" style="45" customWidth="1"/>
    <col min="1290" max="1290" width="12.5703125" style="45" customWidth="1"/>
    <col min="1291" max="1291" width="10.5703125" style="45" customWidth="1"/>
    <col min="1292" max="1292" width="10.140625" style="45" customWidth="1"/>
    <col min="1293" max="1293" width="8.42578125" style="45" customWidth="1"/>
    <col min="1294" max="1294" width="18.85546875" style="45" customWidth="1"/>
    <col min="1295" max="1295" width="10.28515625" style="45" customWidth="1"/>
    <col min="1296" max="1296" width="11.42578125" style="45"/>
    <col min="1297" max="1297" width="12.140625" style="45" customWidth="1"/>
    <col min="1298" max="1298" width="10.5703125" style="45" customWidth="1"/>
    <col min="1299" max="1299" width="12.42578125" style="45" customWidth="1"/>
    <col min="1300" max="1300" width="15.140625" style="45" customWidth="1"/>
    <col min="1301" max="1301" width="13.5703125" style="45" customWidth="1"/>
    <col min="1302" max="1302" width="13.140625" style="45" customWidth="1"/>
    <col min="1303" max="1303" width="15.7109375" style="45" customWidth="1"/>
    <col min="1304" max="1304" width="37.5703125" style="45" customWidth="1"/>
    <col min="1305" max="1526" width="11.42578125" style="45"/>
    <col min="1527" max="1527" width="10.5703125" style="45" customWidth="1"/>
    <col min="1528" max="1528" width="4.85546875" style="45" customWidth="1"/>
    <col min="1529" max="1529" width="32.42578125" style="45" customWidth="1"/>
    <col min="1530" max="1530" width="9.85546875" style="45" customWidth="1"/>
    <col min="1531" max="1531" width="10.140625" style="45" customWidth="1"/>
    <col min="1532" max="1532" width="12.28515625" style="45" customWidth="1"/>
    <col min="1533" max="1533" width="15.42578125" style="45" customWidth="1"/>
    <col min="1534" max="1534" width="11.85546875" style="45" customWidth="1"/>
    <col min="1535" max="1535" width="13.28515625" style="45" customWidth="1"/>
    <col min="1536" max="1536" width="15.28515625" style="45" customWidth="1"/>
    <col min="1537" max="1537" width="11.85546875" style="45" customWidth="1"/>
    <col min="1538" max="1538" width="6.140625" style="45" customWidth="1"/>
    <col min="1539" max="1539" width="11.85546875" style="45" customWidth="1"/>
    <col min="1540" max="1540" width="9.42578125" style="45" customWidth="1"/>
    <col min="1541" max="1541" width="14.7109375" style="45" customWidth="1"/>
    <col min="1542" max="1542" width="11.5703125" style="45" customWidth="1"/>
    <col min="1543" max="1543" width="0.42578125" style="45" customWidth="1"/>
    <col min="1544" max="1544" width="10.5703125" style="45" bestFit="1" customWidth="1"/>
    <col min="1545" max="1545" width="12.28515625" style="45" customWidth="1"/>
    <col min="1546" max="1546" width="12.5703125" style="45" customWidth="1"/>
    <col min="1547" max="1547" width="10.5703125" style="45" customWidth="1"/>
    <col min="1548" max="1548" width="10.140625" style="45" customWidth="1"/>
    <col min="1549" max="1549" width="8.42578125" style="45" customWidth="1"/>
    <col min="1550" max="1550" width="18.85546875" style="45" customWidth="1"/>
    <col min="1551" max="1551" width="10.28515625" style="45" customWidth="1"/>
    <col min="1552" max="1552" width="11.42578125" style="45"/>
    <col min="1553" max="1553" width="12.140625" style="45" customWidth="1"/>
    <col min="1554" max="1554" width="10.5703125" style="45" customWidth="1"/>
    <col min="1555" max="1555" width="12.42578125" style="45" customWidth="1"/>
    <col min="1556" max="1556" width="15.140625" style="45" customWidth="1"/>
    <col min="1557" max="1557" width="13.5703125" style="45" customWidth="1"/>
    <col min="1558" max="1558" width="13.140625" style="45" customWidth="1"/>
    <col min="1559" max="1559" width="15.7109375" style="45" customWidth="1"/>
    <col min="1560" max="1560" width="37.5703125" style="45" customWidth="1"/>
    <col min="1561" max="1782" width="11.42578125" style="45"/>
    <col min="1783" max="1783" width="10.5703125" style="45" customWidth="1"/>
    <col min="1784" max="1784" width="4.85546875" style="45" customWidth="1"/>
    <col min="1785" max="1785" width="32.42578125" style="45" customWidth="1"/>
    <col min="1786" max="1786" width="9.85546875" style="45" customWidth="1"/>
    <col min="1787" max="1787" width="10.140625" style="45" customWidth="1"/>
    <col min="1788" max="1788" width="12.28515625" style="45" customWidth="1"/>
    <col min="1789" max="1789" width="15.42578125" style="45" customWidth="1"/>
    <col min="1790" max="1790" width="11.85546875" style="45" customWidth="1"/>
    <col min="1791" max="1791" width="13.28515625" style="45" customWidth="1"/>
    <col min="1792" max="1792" width="15.28515625" style="45" customWidth="1"/>
    <col min="1793" max="1793" width="11.85546875" style="45" customWidth="1"/>
    <col min="1794" max="1794" width="6.140625" style="45" customWidth="1"/>
    <col min="1795" max="1795" width="11.85546875" style="45" customWidth="1"/>
    <col min="1796" max="1796" width="9.42578125" style="45" customWidth="1"/>
    <col min="1797" max="1797" width="14.7109375" style="45" customWidth="1"/>
    <col min="1798" max="1798" width="11.5703125" style="45" customWidth="1"/>
    <col min="1799" max="1799" width="0.42578125" style="45" customWidth="1"/>
    <col min="1800" max="1800" width="10.5703125" style="45" bestFit="1" customWidth="1"/>
    <col min="1801" max="1801" width="12.28515625" style="45" customWidth="1"/>
    <col min="1802" max="1802" width="12.5703125" style="45" customWidth="1"/>
    <col min="1803" max="1803" width="10.5703125" style="45" customWidth="1"/>
    <col min="1804" max="1804" width="10.140625" style="45" customWidth="1"/>
    <col min="1805" max="1805" width="8.42578125" style="45" customWidth="1"/>
    <col min="1806" max="1806" width="18.85546875" style="45" customWidth="1"/>
    <col min="1807" max="1807" width="10.28515625" style="45" customWidth="1"/>
    <col min="1808" max="1808" width="11.42578125" style="45"/>
    <col min="1809" max="1809" width="12.140625" style="45" customWidth="1"/>
    <col min="1810" max="1810" width="10.5703125" style="45" customWidth="1"/>
    <col min="1811" max="1811" width="12.42578125" style="45" customWidth="1"/>
    <col min="1812" max="1812" width="15.140625" style="45" customWidth="1"/>
    <col min="1813" max="1813" width="13.5703125" style="45" customWidth="1"/>
    <col min="1814" max="1814" width="13.140625" style="45" customWidth="1"/>
    <col min="1815" max="1815" width="15.7109375" style="45" customWidth="1"/>
    <col min="1816" max="1816" width="37.5703125" style="45" customWidth="1"/>
    <col min="1817" max="2038" width="11.42578125" style="45"/>
    <col min="2039" max="2039" width="10.5703125" style="45" customWidth="1"/>
    <col min="2040" max="2040" width="4.85546875" style="45" customWidth="1"/>
    <col min="2041" max="2041" width="32.42578125" style="45" customWidth="1"/>
    <col min="2042" max="2042" width="9.85546875" style="45" customWidth="1"/>
    <col min="2043" max="2043" width="10.140625" style="45" customWidth="1"/>
    <col min="2044" max="2044" width="12.28515625" style="45" customWidth="1"/>
    <col min="2045" max="2045" width="15.42578125" style="45" customWidth="1"/>
    <col min="2046" max="2046" width="11.85546875" style="45" customWidth="1"/>
    <col min="2047" max="2047" width="13.28515625" style="45" customWidth="1"/>
    <col min="2048" max="2048" width="15.28515625" style="45" customWidth="1"/>
    <col min="2049" max="2049" width="11.85546875" style="45" customWidth="1"/>
    <col min="2050" max="2050" width="6.140625" style="45" customWidth="1"/>
    <col min="2051" max="2051" width="11.85546875" style="45" customWidth="1"/>
    <col min="2052" max="2052" width="9.42578125" style="45" customWidth="1"/>
    <col min="2053" max="2053" width="14.7109375" style="45" customWidth="1"/>
    <col min="2054" max="2054" width="11.5703125" style="45" customWidth="1"/>
    <col min="2055" max="2055" width="0.42578125" style="45" customWidth="1"/>
    <col min="2056" max="2056" width="10.5703125" style="45" bestFit="1" customWidth="1"/>
    <col min="2057" max="2057" width="12.28515625" style="45" customWidth="1"/>
    <col min="2058" max="2058" width="12.5703125" style="45" customWidth="1"/>
    <col min="2059" max="2059" width="10.5703125" style="45" customWidth="1"/>
    <col min="2060" max="2060" width="10.140625" style="45" customWidth="1"/>
    <col min="2061" max="2061" width="8.42578125" style="45" customWidth="1"/>
    <col min="2062" max="2062" width="18.85546875" style="45" customWidth="1"/>
    <col min="2063" max="2063" width="10.28515625" style="45" customWidth="1"/>
    <col min="2064" max="2064" width="11.42578125" style="45"/>
    <col min="2065" max="2065" width="12.140625" style="45" customWidth="1"/>
    <col min="2066" max="2066" width="10.5703125" style="45" customWidth="1"/>
    <col min="2067" max="2067" width="12.42578125" style="45" customWidth="1"/>
    <col min="2068" max="2068" width="15.140625" style="45" customWidth="1"/>
    <col min="2069" max="2069" width="13.5703125" style="45" customWidth="1"/>
    <col min="2070" max="2070" width="13.140625" style="45" customWidth="1"/>
    <col min="2071" max="2071" width="15.7109375" style="45" customWidth="1"/>
    <col min="2072" max="2072" width="37.5703125" style="45" customWidth="1"/>
    <col min="2073" max="2294" width="11.42578125" style="45"/>
    <col min="2295" max="2295" width="10.5703125" style="45" customWidth="1"/>
    <col min="2296" max="2296" width="4.85546875" style="45" customWidth="1"/>
    <col min="2297" max="2297" width="32.42578125" style="45" customWidth="1"/>
    <col min="2298" max="2298" width="9.85546875" style="45" customWidth="1"/>
    <col min="2299" max="2299" width="10.140625" style="45" customWidth="1"/>
    <col min="2300" max="2300" width="12.28515625" style="45" customWidth="1"/>
    <col min="2301" max="2301" width="15.42578125" style="45" customWidth="1"/>
    <col min="2302" max="2302" width="11.85546875" style="45" customWidth="1"/>
    <col min="2303" max="2303" width="13.28515625" style="45" customWidth="1"/>
    <col min="2304" max="2304" width="15.28515625" style="45" customWidth="1"/>
    <col min="2305" max="2305" width="11.85546875" style="45" customWidth="1"/>
    <col min="2306" max="2306" width="6.140625" style="45" customWidth="1"/>
    <col min="2307" max="2307" width="11.85546875" style="45" customWidth="1"/>
    <col min="2308" max="2308" width="9.42578125" style="45" customWidth="1"/>
    <col min="2309" max="2309" width="14.7109375" style="45" customWidth="1"/>
    <col min="2310" max="2310" width="11.5703125" style="45" customWidth="1"/>
    <col min="2311" max="2311" width="0.42578125" style="45" customWidth="1"/>
    <col min="2312" max="2312" width="10.5703125" style="45" bestFit="1" customWidth="1"/>
    <col min="2313" max="2313" width="12.28515625" style="45" customWidth="1"/>
    <col min="2314" max="2314" width="12.5703125" style="45" customWidth="1"/>
    <col min="2315" max="2315" width="10.5703125" style="45" customWidth="1"/>
    <col min="2316" max="2316" width="10.140625" style="45" customWidth="1"/>
    <col min="2317" max="2317" width="8.42578125" style="45" customWidth="1"/>
    <col min="2318" max="2318" width="18.85546875" style="45" customWidth="1"/>
    <col min="2319" max="2319" width="10.28515625" style="45" customWidth="1"/>
    <col min="2320" max="2320" width="11.42578125" style="45"/>
    <col min="2321" max="2321" width="12.140625" style="45" customWidth="1"/>
    <col min="2322" max="2322" width="10.5703125" style="45" customWidth="1"/>
    <col min="2323" max="2323" width="12.42578125" style="45" customWidth="1"/>
    <col min="2324" max="2324" width="15.140625" style="45" customWidth="1"/>
    <col min="2325" max="2325" width="13.5703125" style="45" customWidth="1"/>
    <col min="2326" max="2326" width="13.140625" style="45" customWidth="1"/>
    <col min="2327" max="2327" width="15.7109375" style="45" customWidth="1"/>
    <col min="2328" max="2328" width="37.5703125" style="45" customWidth="1"/>
    <col min="2329" max="2550" width="11.42578125" style="45"/>
    <col min="2551" max="2551" width="10.5703125" style="45" customWidth="1"/>
    <col min="2552" max="2552" width="4.85546875" style="45" customWidth="1"/>
    <col min="2553" max="2553" width="32.42578125" style="45" customWidth="1"/>
    <col min="2554" max="2554" width="9.85546875" style="45" customWidth="1"/>
    <col min="2555" max="2555" width="10.140625" style="45" customWidth="1"/>
    <col min="2556" max="2556" width="12.28515625" style="45" customWidth="1"/>
    <col min="2557" max="2557" width="15.42578125" style="45" customWidth="1"/>
    <col min="2558" max="2558" width="11.85546875" style="45" customWidth="1"/>
    <col min="2559" max="2559" width="13.28515625" style="45" customWidth="1"/>
    <col min="2560" max="2560" width="15.28515625" style="45" customWidth="1"/>
    <col min="2561" max="2561" width="11.85546875" style="45" customWidth="1"/>
    <col min="2562" max="2562" width="6.140625" style="45" customWidth="1"/>
    <col min="2563" max="2563" width="11.85546875" style="45" customWidth="1"/>
    <col min="2564" max="2564" width="9.42578125" style="45" customWidth="1"/>
    <col min="2565" max="2565" width="14.7109375" style="45" customWidth="1"/>
    <col min="2566" max="2566" width="11.5703125" style="45" customWidth="1"/>
    <col min="2567" max="2567" width="0.42578125" style="45" customWidth="1"/>
    <col min="2568" max="2568" width="10.5703125" style="45" bestFit="1" customWidth="1"/>
    <col min="2569" max="2569" width="12.28515625" style="45" customWidth="1"/>
    <col min="2570" max="2570" width="12.5703125" style="45" customWidth="1"/>
    <col min="2571" max="2571" width="10.5703125" style="45" customWidth="1"/>
    <col min="2572" max="2572" width="10.140625" style="45" customWidth="1"/>
    <col min="2573" max="2573" width="8.42578125" style="45" customWidth="1"/>
    <col min="2574" max="2574" width="18.85546875" style="45" customWidth="1"/>
    <col min="2575" max="2575" width="10.28515625" style="45" customWidth="1"/>
    <col min="2576" max="2576" width="11.42578125" style="45"/>
    <col min="2577" max="2577" width="12.140625" style="45" customWidth="1"/>
    <col min="2578" max="2578" width="10.5703125" style="45" customWidth="1"/>
    <col min="2579" max="2579" width="12.42578125" style="45" customWidth="1"/>
    <col min="2580" max="2580" width="15.140625" style="45" customWidth="1"/>
    <col min="2581" max="2581" width="13.5703125" style="45" customWidth="1"/>
    <col min="2582" max="2582" width="13.140625" style="45" customWidth="1"/>
    <col min="2583" max="2583" width="15.7109375" style="45" customWidth="1"/>
    <col min="2584" max="2584" width="37.5703125" style="45" customWidth="1"/>
    <col min="2585" max="2806" width="11.42578125" style="45"/>
    <col min="2807" max="2807" width="10.5703125" style="45" customWidth="1"/>
    <col min="2808" max="2808" width="4.85546875" style="45" customWidth="1"/>
    <col min="2809" max="2809" width="32.42578125" style="45" customWidth="1"/>
    <col min="2810" max="2810" width="9.85546875" style="45" customWidth="1"/>
    <col min="2811" max="2811" width="10.140625" style="45" customWidth="1"/>
    <col min="2812" max="2812" width="12.28515625" style="45" customWidth="1"/>
    <col min="2813" max="2813" width="15.42578125" style="45" customWidth="1"/>
    <col min="2814" max="2814" width="11.85546875" style="45" customWidth="1"/>
    <col min="2815" max="2815" width="13.28515625" style="45" customWidth="1"/>
    <col min="2816" max="2816" width="15.28515625" style="45" customWidth="1"/>
    <col min="2817" max="2817" width="11.85546875" style="45" customWidth="1"/>
    <col min="2818" max="2818" width="6.140625" style="45" customWidth="1"/>
    <col min="2819" max="2819" width="11.85546875" style="45" customWidth="1"/>
    <col min="2820" max="2820" width="9.42578125" style="45" customWidth="1"/>
    <col min="2821" max="2821" width="14.7109375" style="45" customWidth="1"/>
    <col min="2822" max="2822" width="11.5703125" style="45" customWidth="1"/>
    <col min="2823" max="2823" width="0.42578125" style="45" customWidth="1"/>
    <col min="2824" max="2824" width="10.5703125" style="45" bestFit="1" customWidth="1"/>
    <col min="2825" max="2825" width="12.28515625" style="45" customWidth="1"/>
    <col min="2826" max="2826" width="12.5703125" style="45" customWidth="1"/>
    <col min="2827" max="2827" width="10.5703125" style="45" customWidth="1"/>
    <col min="2828" max="2828" width="10.140625" style="45" customWidth="1"/>
    <col min="2829" max="2829" width="8.42578125" style="45" customWidth="1"/>
    <col min="2830" max="2830" width="18.85546875" style="45" customWidth="1"/>
    <col min="2831" max="2831" width="10.28515625" style="45" customWidth="1"/>
    <col min="2832" max="2832" width="11.42578125" style="45"/>
    <col min="2833" max="2833" width="12.140625" style="45" customWidth="1"/>
    <col min="2834" max="2834" width="10.5703125" style="45" customWidth="1"/>
    <col min="2835" max="2835" width="12.42578125" style="45" customWidth="1"/>
    <col min="2836" max="2836" width="15.140625" style="45" customWidth="1"/>
    <col min="2837" max="2837" width="13.5703125" style="45" customWidth="1"/>
    <col min="2838" max="2838" width="13.140625" style="45" customWidth="1"/>
    <col min="2839" max="2839" width="15.7109375" style="45" customWidth="1"/>
    <col min="2840" max="2840" width="37.5703125" style="45" customWidth="1"/>
    <col min="2841" max="3062" width="11.42578125" style="45"/>
    <col min="3063" max="3063" width="10.5703125" style="45" customWidth="1"/>
    <col min="3064" max="3064" width="4.85546875" style="45" customWidth="1"/>
    <col min="3065" max="3065" width="32.42578125" style="45" customWidth="1"/>
    <col min="3066" max="3066" width="9.85546875" style="45" customWidth="1"/>
    <col min="3067" max="3067" width="10.140625" style="45" customWidth="1"/>
    <col min="3068" max="3068" width="12.28515625" style="45" customWidth="1"/>
    <col min="3069" max="3069" width="15.42578125" style="45" customWidth="1"/>
    <col min="3070" max="3070" width="11.85546875" style="45" customWidth="1"/>
    <col min="3071" max="3071" width="13.28515625" style="45" customWidth="1"/>
    <col min="3072" max="3072" width="15.28515625" style="45" customWidth="1"/>
    <col min="3073" max="3073" width="11.85546875" style="45" customWidth="1"/>
    <col min="3074" max="3074" width="6.140625" style="45" customWidth="1"/>
    <col min="3075" max="3075" width="11.85546875" style="45" customWidth="1"/>
    <col min="3076" max="3076" width="9.42578125" style="45" customWidth="1"/>
    <col min="3077" max="3077" width="14.7109375" style="45" customWidth="1"/>
    <col min="3078" max="3078" width="11.5703125" style="45" customWidth="1"/>
    <col min="3079" max="3079" width="0.42578125" style="45" customWidth="1"/>
    <col min="3080" max="3080" width="10.5703125" style="45" bestFit="1" customWidth="1"/>
    <col min="3081" max="3081" width="12.28515625" style="45" customWidth="1"/>
    <col min="3082" max="3082" width="12.5703125" style="45" customWidth="1"/>
    <col min="3083" max="3083" width="10.5703125" style="45" customWidth="1"/>
    <col min="3084" max="3084" width="10.140625" style="45" customWidth="1"/>
    <col min="3085" max="3085" width="8.42578125" style="45" customWidth="1"/>
    <col min="3086" max="3086" width="18.85546875" style="45" customWidth="1"/>
    <col min="3087" max="3087" width="10.28515625" style="45" customWidth="1"/>
    <col min="3088" max="3088" width="11.42578125" style="45"/>
    <col min="3089" max="3089" width="12.140625" style="45" customWidth="1"/>
    <col min="3090" max="3090" width="10.5703125" style="45" customWidth="1"/>
    <col min="3091" max="3091" width="12.42578125" style="45" customWidth="1"/>
    <col min="3092" max="3092" width="15.140625" style="45" customWidth="1"/>
    <col min="3093" max="3093" width="13.5703125" style="45" customWidth="1"/>
    <col min="3094" max="3094" width="13.140625" style="45" customWidth="1"/>
    <col min="3095" max="3095" width="15.7109375" style="45" customWidth="1"/>
    <col min="3096" max="3096" width="37.5703125" style="45" customWidth="1"/>
    <col min="3097" max="3318" width="11.42578125" style="45"/>
    <col min="3319" max="3319" width="10.5703125" style="45" customWidth="1"/>
    <col min="3320" max="3320" width="4.85546875" style="45" customWidth="1"/>
    <col min="3321" max="3321" width="32.42578125" style="45" customWidth="1"/>
    <col min="3322" max="3322" width="9.85546875" style="45" customWidth="1"/>
    <col min="3323" max="3323" width="10.140625" style="45" customWidth="1"/>
    <col min="3324" max="3324" width="12.28515625" style="45" customWidth="1"/>
    <col min="3325" max="3325" width="15.42578125" style="45" customWidth="1"/>
    <col min="3326" max="3326" width="11.85546875" style="45" customWidth="1"/>
    <col min="3327" max="3327" width="13.28515625" style="45" customWidth="1"/>
    <col min="3328" max="3328" width="15.28515625" style="45" customWidth="1"/>
    <col min="3329" max="3329" width="11.85546875" style="45" customWidth="1"/>
    <col min="3330" max="3330" width="6.140625" style="45" customWidth="1"/>
    <col min="3331" max="3331" width="11.85546875" style="45" customWidth="1"/>
    <col min="3332" max="3332" width="9.42578125" style="45" customWidth="1"/>
    <col min="3333" max="3333" width="14.7109375" style="45" customWidth="1"/>
    <col min="3334" max="3334" width="11.5703125" style="45" customWidth="1"/>
    <col min="3335" max="3335" width="0.42578125" style="45" customWidth="1"/>
    <col min="3336" max="3336" width="10.5703125" style="45" bestFit="1" customWidth="1"/>
    <col min="3337" max="3337" width="12.28515625" style="45" customWidth="1"/>
    <col min="3338" max="3338" width="12.5703125" style="45" customWidth="1"/>
    <col min="3339" max="3339" width="10.5703125" style="45" customWidth="1"/>
    <col min="3340" max="3340" width="10.140625" style="45" customWidth="1"/>
    <col min="3341" max="3341" width="8.42578125" style="45" customWidth="1"/>
    <col min="3342" max="3342" width="18.85546875" style="45" customWidth="1"/>
    <col min="3343" max="3343" width="10.28515625" style="45" customWidth="1"/>
    <col min="3344" max="3344" width="11.42578125" style="45"/>
    <col min="3345" max="3345" width="12.140625" style="45" customWidth="1"/>
    <col min="3346" max="3346" width="10.5703125" style="45" customWidth="1"/>
    <col min="3347" max="3347" width="12.42578125" style="45" customWidth="1"/>
    <col min="3348" max="3348" width="15.140625" style="45" customWidth="1"/>
    <col min="3349" max="3349" width="13.5703125" style="45" customWidth="1"/>
    <col min="3350" max="3350" width="13.140625" style="45" customWidth="1"/>
    <col min="3351" max="3351" width="15.7109375" style="45" customWidth="1"/>
    <col min="3352" max="3352" width="37.5703125" style="45" customWidth="1"/>
    <col min="3353" max="3574" width="11.42578125" style="45"/>
    <col min="3575" max="3575" width="10.5703125" style="45" customWidth="1"/>
    <col min="3576" max="3576" width="4.85546875" style="45" customWidth="1"/>
    <col min="3577" max="3577" width="32.42578125" style="45" customWidth="1"/>
    <col min="3578" max="3578" width="9.85546875" style="45" customWidth="1"/>
    <col min="3579" max="3579" width="10.140625" style="45" customWidth="1"/>
    <col min="3580" max="3580" width="12.28515625" style="45" customWidth="1"/>
    <col min="3581" max="3581" width="15.42578125" style="45" customWidth="1"/>
    <col min="3582" max="3582" width="11.85546875" style="45" customWidth="1"/>
    <col min="3583" max="3583" width="13.28515625" style="45" customWidth="1"/>
    <col min="3584" max="3584" width="15.28515625" style="45" customWidth="1"/>
    <col min="3585" max="3585" width="11.85546875" style="45" customWidth="1"/>
    <col min="3586" max="3586" width="6.140625" style="45" customWidth="1"/>
    <col min="3587" max="3587" width="11.85546875" style="45" customWidth="1"/>
    <col min="3588" max="3588" width="9.42578125" style="45" customWidth="1"/>
    <col min="3589" max="3589" width="14.7109375" style="45" customWidth="1"/>
    <col min="3590" max="3590" width="11.5703125" style="45" customWidth="1"/>
    <col min="3591" max="3591" width="0.42578125" style="45" customWidth="1"/>
    <col min="3592" max="3592" width="10.5703125" style="45" bestFit="1" customWidth="1"/>
    <col min="3593" max="3593" width="12.28515625" style="45" customWidth="1"/>
    <col min="3594" max="3594" width="12.5703125" style="45" customWidth="1"/>
    <col min="3595" max="3595" width="10.5703125" style="45" customWidth="1"/>
    <col min="3596" max="3596" width="10.140625" style="45" customWidth="1"/>
    <col min="3597" max="3597" width="8.42578125" style="45" customWidth="1"/>
    <col min="3598" max="3598" width="18.85546875" style="45" customWidth="1"/>
    <col min="3599" max="3599" width="10.28515625" style="45" customWidth="1"/>
    <col min="3600" max="3600" width="11.42578125" style="45"/>
    <col min="3601" max="3601" width="12.140625" style="45" customWidth="1"/>
    <col min="3602" max="3602" width="10.5703125" style="45" customWidth="1"/>
    <col min="3603" max="3603" width="12.42578125" style="45" customWidth="1"/>
    <col min="3604" max="3604" width="15.140625" style="45" customWidth="1"/>
    <col min="3605" max="3605" width="13.5703125" style="45" customWidth="1"/>
    <col min="3606" max="3606" width="13.140625" style="45" customWidth="1"/>
    <col min="3607" max="3607" width="15.7109375" style="45" customWidth="1"/>
    <col min="3608" max="3608" width="37.5703125" style="45" customWidth="1"/>
    <col min="3609" max="3830" width="11.42578125" style="45"/>
    <col min="3831" max="3831" width="10.5703125" style="45" customWidth="1"/>
    <col min="3832" max="3832" width="4.85546875" style="45" customWidth="1"/>
    <col min="3833" max="3833" width="32.42578125" style="45" customWidth="1"/>
    <col min="3834" max="3834" width="9.85546875" style="45" customWidth="1"/>
    <col min="3835" max="3835" width="10.140625" style="45" customWidth="1"/>
    <col min="3836" max="3836" width="12.28515625" style="45" customWidth="1"/>
    <col min="3837" max="3837" width="15.42578125" style="45" customWidth="1"/>
    <col min="3838" max="3838" width="11.85546875" style="45" customWidth="1"/>
    <col min="3839" max="3839" width="13.28515625" style="45" customWidth="1"/>
    <col min="3840" max="3840" width="15.28515625" style="45" customWidth="1"/>
    <col min="3841" max="3841" width="11.85546875" style="45" customWidth="1"/>
    <col min="3842" max="3842" width="6.140625" style="45" customWidth="1"/>
    <col min="3843" max="3843" width="11.85546875" style="45" customWidth="1"/>
    <col min="3844" max="3844" width="9.42578125" style="45" customWidth="1"/>
    <col min="3845" max="3845" width="14.7109375" style="45" customWidth="1"/>
    <col min="3846" max="3846" width="11.5703125" style="45" customWidth="1"/>
    <col min="3847" max="3847" width="0.42578125" style="45" customWidth="1"/>
    <col min="3848" max="3848" width="10.5703125" style="45" bestFit="1" customWidth="1"/>
    <col min="3849" max="3849" width="12.28515625" style="45" customWidth="1"/>
    <col min="3850" max="3850" width="12.5703125" style="45" customWidth="1"/>
    <col min="3851" max="3851" width="10.5703125" style="45" customWidth="1"/>
    <col min="3852" max="3852" width="10.140625" style="45" customWidth="1"/>
    <col min="3853" max="3853" width="8.42578125" style="45" customWidth="1"/>
    <col min="3854" max="3854" width="18.85546875" style="45" customWidth="1"/>
    <col min="3855" max="3855" width="10.28515625" style="45" customWidth="1"/>
    <col min="3856" max="3856" width="11.42578125" style="45"/>
    <col min="3857" max="3857" width="12.140625" style="45" customWidth="1"/>
    <col min="3858" max="3858" width="10.5703125" style="45" customWidth="1"/>
    <col min="3859" max="3859" width="12.42578125" style="45" customWidth="1"/>
    <col min="3860" max="3860" width="15.140625" style="45" customWidth="1"/>
    <col min="3861" max="3861" width="13.5703125" style="45" customWidth="1"/>
    <col min="3862" max="3862" width="13.140625" style="45" customWidth="1"/>
    <col min="3863" max="3863" width="15.7109375" style="45" customWidth="1"/>
    <col min="3864" max="3864" width="37.5703125" style="45" customWidth="1"/>
    <col min="3865" max="4086" width="11.42578125" style="45"/>
    <col min="4087" max="4087" width="10.5703125" style="45" customWidth="1"/>
    <col min="4088" max="4088" width="4.85546875" style="45" customWidth="1"/>
    <col min="4089" max="4089" width="32.42578125" style="45" customWidth="1"/>
    <col min="4090" max="4090" width="9.85546875" style="45" customWidth="1"/>
    <col min="4091" max="4091" width="10.140625" style="45" customWidth="1"/>
    <col min="4092" max="4092" width="12.28515625" style="45" customWidth="1"/>
    <col min="4093" max="4093" width="15.42578125" style="45" customWidth="1"/>
    <col min="4094" max="4094" width="11.85546875" style="45" customWidth="1"/>
    <col min="4095" max="4095" width="13.28515625" style="45" customWidth="1"/>
    <col min="4096" max="4096" width="15.28515625" style="45" customWidth="1"/>
    <col min="4097" max="4097" width="11.85546875" style="45" customWidth="1"/>
    <col min="4098" max="4098" width="6.140625" style="45" customWidth="1"/>
    <col min="4099" max="4099" width="11.85546875" style="45" customWidth="1"/>
    <col min="4100" max="4100" width="9.42578125" style="45" customWidth="1"/>
    <col min="4101" max="4101" width="14.7109375" style="45" customWidth="1"/>
    <col min="4102" max="4102" width="11.5703125" style="45" customWidth="1"/>
    <col min="4103" max="4103" width="0.42578125" style="45" customWidth="1"/>
    <col min="4104" max="4104" width="10.5703125" style="45" bestFit="1" customWidth="1"/>
    <col min="4105" max="4105" width="12.28515625" style="45" customWidth="1"/>
    <col min="4106" max="4106" width="12.5703125" style="45" customWidth="1"/>
    <col min="4107" max="4107" width="10.5703125" style="45" customWidth="1"/>
    <col min="4108" max="4108" width="10.140625" style="45" customWidth="1"/>
    <col min="4109" max="4109" width="8.42578125" style="45" customWidth="1"/>
    <col min="4110" max="4110" width="18.85546875" style="45" customWidth="1"/>
    <col min="4111" max="4111" width="10.28515625" style="45" customWidth="1"/>
    <col min="4112" max="4112" width="11.42578125" style="45"/>
    <col min="4113" max="4113" width="12.140625" style="45" customWidth="1"/>
    <col min="4114" max="4114" width="10.5703125" style="45" customWidth="1"/>
    <col min="4115" max="4115" width="12.42578125" style="45" customWidth="1"/>
    <col min="4116" max="4116" width="15.140625" style="45" customWidth="1"/>
    <col min="4117" max="4117" width="13.5703125" style="45" customWidth="1"/>
    <col min="4118" max="4118" width="13.140625" style="45" customWidth="1"/>
    <col min="4119" max="4119" width="15.7109375" style="45" customWidth="1"/>
    <col min="4120" max="4120" width="37.5703125" style="45" customWidth="1"/>
    <col min="4121" max="4342" width="11.42578125" style="45"/>
    <col min="4343" max="4343" width="10.5703125" style="45" customWidth="1"/>
    <col min="4344" max="4344" width="4.85546875" style="45" customWidth="1"/>
    <col min="4345" max="4345" width="32.42578125" style="45" customWidth="1"/>
    <col min="4346" max="4346" width="9.85546875" style="45" customWidth="1"/>
    <col min="4347" max="4347" width="10.140625" style="45" customWidth="1"/>
    <col min="4348" max="4348" width="12.28515625" style="45" customWidth="1"/>
    <col min="4349" max="4349" width="15.42578125" style="45" customWidth="1"/>
    <col min="4350" max="4350" width="11.85546875" style="45" customWidth="1"/>
    <col min="4351" max="4351" width="13.28515625" style="45" customWidth="1"/>
    <col min="4352" max="4352" width="15.28515625" style="45" customWidth="1"/>
    <col min="4353" max="4353" width="11.85546875" style="45" customWidth="1"/>
    <col min="4354" max="4354" width="6.140625" style="45" customWidth="1"/>
    <col min="4355" max="4355" width="11.85546875" style="45" customWidth="1"/>
    <col min="4356" max="4356" width="9.42578125" style="45" customWidth="1"/>
    <col min="4357" max="4357" width="14.7109375" style="45" customWidth="1"/>
    <col min="4358" max="4358" width="11.5703125" style="45" customWidth="1"/>
    <col min="4359" max="4359" width="0.42578125" style="45" customWidth="1"/>
    <col min="4360" max="4360" width="10.5703125" style="45" bestFit="1" customWidth="1"/>
    <col min="4361" max="4361" width="12.28515625" style="45" customWidth="1"/>
    <col min="4362" max="4362" width="12.5703125" style="45" customWidth="1"/>
    <col min="4363" max="4363" width="10.5703125" style="45" customWidth="1"/>
    <col min="4364" max="4364" width="10.140625" style="45" customWidth="1"/>
    <col min="4365" max="4365" width="8.42578125" style="45" customWidth="1"/>
    <col min="4366" max="4366" width="18.85546875" style="45" customWidth="1"/>
    <col min="4367" max="4367" width="10.28515625" style="45" customWidth="1"/>
    <col min="4368" max="4368" width="11.42578125" style="45"/>
    <col min="4369" max="4369" width="12.140625" style="45" customWidth="1"/>
    <col min="4370" max="4370" width="10.5703125" style="45" customWidth="1"/>
    <col min="4371" max="4371" width="12.42578125" style="45" customWidth="1"/>
    <col min="4372" max="4372" width="15.140625" style="45" customWidth="1"/>
    <col min="4373" max="4373" width="13.5703125" style="45" customWidth="1"/>
    <col min="4374" max="4374" width="13.140625" style="45" customWidth="1"/>
    <col min="4375" max="4375" width="15.7109375" style="45" customWidth="1"/>
    <col min="4376" max="4376" width="37.5703125" style="45" customWidth="1"/>
    <col min="4377" max="4598" width="11.42578125" style="45"/>
    <col min="4599" max="4599" width="10.5703125" style="45" customWidth="1"/>
    <col min="4600" max="4600" width="4.85546875" style="45" customWidth="1"/>
    <col min="4601" max="4601" width="32.42578125" style="45" customWidth="1"/>
    <col min="4602" max="4602" width="9.85546875" style="45" customWidth="1"/>
    <col min="4603" max="4603" width="10.140625" style="45" customWidth="1"/>
    <col min="4604" max="4604" width="12.28515625" style="45" customWidth="1"/>
    <col min="4605" max="4605" width="15.42578125" style="45" customWidth="1"/>
    <col min="4606" max="4606" width="11.85546875" style="45" customWidth="1"/>
    <col min="4607" max="4607" width="13.28515625" style="45" customWidth="1"/>
    <col min="4608" max="4608" width="15.28515625" style="45" customWidth="1"/>
    <col min="4609" max="4609" width="11.85546875" style="45" customWidth="1"/>
    <col min="4610" max="4610" width="6.140625" style="45" customWidth="1"/>
    <col min="4611" max="4611" width="11.85546875" style="45" customWidth="1"/>
    <col min="4612" max="4612" width="9.42578125" style="45" customWidth="1"/>
    <col min="4613" max="4613" width="14.7109375" style="45" customWidth="1"/>
    <col min="4614" max="4614" width="11.5703125" style="45" customWidth="1"/>
    <col min="4615" max="4615" width="0.42578125" style="45" customWidth="1"/>
    <col min="4616" max="4616" width="10.5703125" style="45" bestFit="1" customWidth="1"/>
    <col min="4617" max="4617" width="12.28515625" style="45" customWidth="1"/>
    <col min="4618" max="4618" width="12.5703125" style="45" customWidth="1"/>
    <col min="4619" max="4619" width="10.5703125" style="45" customWidth="1"/>
    <col min="4620" max="4620" width="10.140625" style="45" customWidth="1"/>
    <col min="4621" max="4621" width="8.42578125" style="45" customWidth="1"/>
    <col min="4622" max="4622" width="18.85546875" style="45" customWidth="1"/>
    <col min="4623" max="4623" width="10.28515625" style="45" customWidth="1"/>
    <col min="4624" max="4624" width="11.42578125" style="45"/>
    <col min="4625" max="4625" width="12.140625" style="45" customWidth="1"/>
    <col min="4626" max="4626" width="10.5703125" style="45" customWidth="1"/>
    <col min="4627" max="4627" width="12.42578125" style="45" customWidth="1"/>
    <col min="4628" max="4628" width="15.140625" style="45" customWidth="1"/>
    <col min="4629" max="4629" width="13.5703125" style="45" customWidth="1"/>
    <col min="4630" max="4630" width="13.140625" style="45" customWidth="1"/>
    <col min="4631" max="4631" width="15.7109375" style="45" customWidth="1"/>
    <col min="4632" max="4632" width="37.5703125" style="45" customWidth="1"/>
    <col min="4633" max="4854" width="11.42578125" style="45"/>
    <col min="4855" max="4855" width="10.5703125" style="45" customWidth="1"/>
    <col min="4856" max="4856" width="4.85546875" style="45" customWidth="1"/>
    <col min="4857" max="4857" width="32.42578125" style="45" customWidth="1"/>
    <col min="4858" max="4858" width="9.85546875" style="45" customWidth="1"/>
    <col min="4859" max="4859" width="10.140625" style="45" customWidth="1"/>
    <col min="4860" max="4860" width="12.28515625" style="45" customWidth="1"/>
    <col min="4861" max="4861" width="15.42578125" style="45" customWidth="1"/>
    <col min="4862" max="4862" width="11.85546875" style="45" customWidth="1"/>
    <col min="4863" max="4863" width="13.28515625" style="45" customWidth="1"/>
    <col min="4864" max="4864" width="15.28515625" style="45" customWidth="1"/>
    <col min="4865" max="4865" width="11.85546875" style="45" customWidth="1"/>
    <col min="4866" max="4866" width="6.140625" style="45" customWidth="1"/>
    <col min="4867" max="4867" width="11.85546875" style="45" customWidth="1"/>
    <col min="4868" max="4868" width="9.42578125" style="45" customWidth="1"/>
    <col min="4869" max="4869" width="14.7109375" style="45" customWidth="1"/>
    <col min="4870" max="4870" width="11.5703125" style="45" customWidth="1"/>
    <col min="4871" max="4871" width="0.42578125" style="45" customWidth="1"/>
    <col min="4872" max="4872" width="10.5703125" style="45" bestFit="1" customWidth="1"/>
    <col min="4873" max="4873" width="12.28515625" style="45" customWidth="1"/>
    <col min="4874" max="4874" width="12.5703125" style="45" customWidth="1"/>
    <col min="4875" max="4875" width="10.5703125" style="45" customWidth="1"/>
    <col min="4876" max="4876" width="10.140625" style="45" customWidth="1"/>
    <col min="4877" max="4877" width="8.42578125" style="45" customWidth="1"/>
    <col min="4878" max="4878" width="18.85546875" style="45" customWidth="1"/>
    <col min="4879" max="4879" width="10.28515625" style="45" customWidth="1"/>
    <col min="4880" max="4880" width="11.42578125" style="45"/>
    <col min="4881" max="4881" width="12.140625" style="45" customWidth="1"/>
    <col min="4882" max="4882" width="10.5703125" style="45" customWidth="1"/>
    <col min="4883" max="4883" width="12.42578125" style="45" customWidth="1"/>
    <col min="4884" max="4884" width="15.140625" style="45" customWidth="1"/>
    <col min="4885" max="4885" width="13.5703125" style="45" customWidth="1"/>
    <col min="4886" max="4886" width="13.140625" style="45" customWidth="1"/>
    <col min="4887" max="4887" width="15.7109375" style="45" customWidth="1"/>
    <col min="4888" max="4888" width="37.5703125" style="45" customWidth="1"/>
    <col min="4889" max="5110" width="11.42578125" style="45"/>
    <col min="5111" max="5111" width="10.5703125" style="45" customWidth="1"/>
    <col min="5112" max="5112" width="4.85546875" style="45" customWidth="1"/>
    <col min="5113" max="5113" width="32.42578125" style="45" customWidth="1"/>
    <col min="5114" max="5114" width="9.85546875" style="45" customWidth="1"/>
    <col min="5115" max="5115" width="10.140625" style="45" customWidth="1"/>
    <col min="5116" max="5116" width="12.28515625" style="45" customWidth="1"/>
    <col min="5117" max="5117" width="15.42578125" style="45" customWidth="1"/>
    <col min="5118" max="5118" width="11.85546875" style="45" customWidth="1"/>
    <col min="5119" max="5119" width="13.28515625" style="45" customWidth="1"/>
    <col min="5120" max="5120" width="15.28515625" style="45" customWidth="1"/>
    <col min="5121" max="5121" width="11.85546875" style="45" customWidth="1"/>
    <col min="5122" max="5122" width="6.140625" style="45" customWidth="1"/>
    <col min="5123" max="5123" width="11.85546875" style="45" customWidth="1"/>
    <col min="5124" max="5124" width="9.42578125" style="45" customWidth="1"/>
    <col min="5125" max="5125" width="14.7109375" style="45" customWidth="1"/>
    <col min="5126" max="5126" width="11.5703125" style="45" customWidth="1"/>
    <col min="5127" max="5127" width="0.42578125" style="45" customWidth="1"/>
    <col min="5128" max="5128" width="10.5703125" style="45" bestFit="1" customWidth="1"/>
    <col min="5129" max="5129" width="12.28515625" style="45" customWidth="1"/>
    <col min="5130" max="5130" width="12.5703125" style="45" customWidth="1"/>
    <col min="5131" max="5131" width="10.5703125" style="45" customWidth="1"/>
    <col min="5132" max="5132" width="10.140625" style="45" customWidth="1"/>
    <col min="5133" max="5133" width="8.42578125" style="45" customWidth="1"/>
    <col min="5134" max="5134" width="18.85546875" style="45" customWidth="1"/>
    <col min="5135" max="5135" width="10.28515625" style="45" customWidth="1"/>
    <col min="5136" max="5136" width="11.42578125" style="45"/>
    <col min="5137" max="5137" width="12.140625" style="45" customWidth="1"/>
    <col min="5138" max="5138" width="10.5703125" style="45" customWidth="1"/>
    <col min="5139" max="5139" width="12.42578125" style="45" customWidth="1"/>
    <col min="5140" max="5140" width="15.140625" style="45" customWidth="1"/>
    <col min="5141" max="5141" width="13.5703125" style="45" customWidth="1"/>
    <col min="5142" max="5142" width="13.140625" style="45" customWidth="1"/>
    <col min="5143" max="5143" width="15.7109375" style="45" customWidth="1"/>
    <col min="5144" max="5144" width="37.5703125" style="45" customWidth="1"/>
    <col min="5145" max="5366" width="11.42578125" style="45"/>
    <col min="5367" max="5367" width="10.5703125" style="45" customWidth="1"/>
    <col min="5368" max="5368" width="4.85546875" style="45" customWidth="1"/>
    <col min="5369" max="5369" width="32.42578125" style="45" customWidth="1"/>
    <col min="5370" max="5370" width="9.85546875" style="45" customWidth="1"/>
    <col min="5371" max="5371" width="10.140625" style="45" customWidth="1"/>
    <col min="5372" max="5372" width="12.28515625" style="45" customWidth="1"/>
    <col min="5373" max="5373" width="15.42578125" style="45" customWidth="1"/>
    <col min="5374" max="5374" width="11.85546875" style="45" customWidth="1"/>
    <col min="5375" max="5375" width="13.28515625" style="45" customWidth="1"/>
    <col min="5376" max="5376" width="15.28515625" style="45" customWidth="1"/>
    <col min="5377" max="5377" width="11.85546875" style="45" customWidth="1"/>
    <col min="5378" max="5378" width="6.140625" style="45" customWidth="1"/>
    <col min="5379" max="5379" width="11.85546875" style="45" customWidth="1"/>
    <col min="5380" max="5380" width="9.42578125" style="45" customWidth="1"/>
    <col min="5381" max="5381" width="14.7109375" style="45" customWidth="1"/>
    <col min="5382" max="5382" width="11.5703125" style="45" customWidth="1"/>
    <col min="5383" max="5383" width="0.42578125" style="45" customWidth="1"/>
    <col min="5384" max="5384" width="10.5703125" style="45" bestFit="1" customWidth="1"/>
    <col min="5385" max="5385" width="12.28515625" style="45" customWidth="1"/>
    <col min="5386" max="5386" width="12.5703125" style="45" customWidth="1"/>
    <col min="5387" max="5387" width="10.5703125" style="45" customWidth="1"/>
    <col min="5388" max="5388" width="10.140625" style="45" customWidth="1"/>
    <col min="5389" max="5389" width="8.42578125" style="45" customWidth="1"/>
    <col min="5390" max="5390" width="18.85546875" style="45" customWidth="1"/>
    <col min="5391" max="5391" width="10.28515625" style="45" customWidth="1"/>
    <col min="5392" max="5392" width="11.42578125" style="45"/>
    <col min="5393" max="5393" width="12.140625" style="45" customWidth="1"/>
    <col min="5394" max="5394" width="10.5703125" style="45" customWidth="1"/>
    <col min="5395" max="5395" width="12.42578125" style="45" customWidth="1"/>
    <col min="5396" max="5396" width="15.140625" style="45" customWidth="1"/>
    <col min="5397" max="5397" width="13.5703125" style="45" customWidth="1"/>
    <col min="5398" max="5398" width="13.140625" style="45" customWidth="1"/>
    <col min="5399" max="5399" width="15.7109375" style="45" customWidth="1"/>
    <col min="5400" max="5400" width="37.5703125" style="45" customWidth="1"/>
    <col min="5401" max="5622" width="11.42578125" style="45"/>
    <col min="5623" max="5623" width="10.5703125" style="45" customWidth="1"/>
    <col min="5624" max="5624" width="4.85546875" style="45" customWidth="1"/>
    <col min="5625" max="5625" width="32.42578125" style="45" customWidth="1"/>
    <col min="5626" max="5626" width="9.85546875" style="45" customWidth="1"/>
    <col min="5627" max="5627" width="10.140625" style="45" customWidth="1"/>
    <col min="5628" max="5628" width="12.28515625" style="45" customWidth="1"/>
    <col min="5629" max="5629" width="15.42578125" style="45" customWidth="1"/>
    <col min="5630" max="5630" width="11.85546875" style="45" customWidth="1"/>
    <col min="5631" max="5631" width="13.28515625" style="45" customWidth="1"/>
    <col min="5632" max="5632" width="15.28515625" style="45" customWidth="1"/>
    <col min="5633" max="5633" width="11.85546875" style="45" customWidth="1"/>
    <col min="5634" max="5634" width="6.140625" style="45" customWidth="1"/>
    <col min="5635" max="5635" width="11.85546875" style="45" customWidth="1"/>
    <col min="5636" max="5636" width="9.42578125" style="45" customWidth="1"/>
    <col min="5637" max="5637" width="14.7109375" style="45" customWidth="1"/>
    <col min="5638" max="5638" width="11.5703125" style="45" customWidth="1"/>
    <col min="5639" max="5639" width="0.42578125" style="45" customWidth="1"/>
    <col min="5640" max="5640" width="10.5703125" style="45" bestFit="1" customWidth="1"/>
    <col min="5641" max="5641" width="12.28515625" style="45" customWidth="1"/>
    <col min="5642" max="5642" width="12.5703125" style="45" customWidth="1"/>
    <col min="5643" max="5643" width="10.5703125" style="45" customWidth="1"/>
    <col min="5644" max="5644" width="10.140625" style="45" customWidth="1"/>
    <col min="5645" max="5645" width="8.42578125" style="45" customWidth="1"/>
    <col min="5646" max="5646" width="18.85546875" style="45" customWidth="1"/>
    <col min="5647" max="5647" width="10.28515625" style="45" customWidth="1"/>
    <col min="5648" max="5648" width="11.42578125" style="45"/>
    <col min="5649" max="5649" width="12.140625" style="45" customWidth="1"/>
    <col min="5650" max="5650" width="10.5703125" style="45" customWidth="1"/>
    <col min="5651" max="5651" width="12.42578125" style="45" customWidth="1"/>
    <col min="5652" max="5652" width="15.140625" style="45" customWidth="1"/>
    <col min="5653" max="5653" width="13.5703125" style="45" customWidth="1"/>
    <col min="5654" max="5654" width="13.140625" style="45" customWidth="1"/>
    <col min="5655" max="5655" width="15.7109375" style="45" customWidth="1"/>
    <col min="5656" max="5656" width="37.5703125" style="45" customWidth="1"/>
    <col min="5657" max="5878" width="11.42578125" style="45"/>
    <col min="5879" max="5879" width="10.5703125" style="45" customWidth="1"/>
    <col min="5880" max="5880" width="4.85546875" style="45" customWidth="1"/>
    <col min="5881" max="5881" width="32.42578125" style="45" customWidth="1"/>
    <col min="5882" max="5882" width="9.85546875" style="45" customWidth="1"/>
    <col min="5883" max="5883" width="10.140625" style="45" customWidth="1"/>
    <col min="5884" max="5884" width="12.28515625" style="45" customWidth="1"/>
    <col min="5885" max="5885" width="15.42578125" style="45" customWidth="1"/>
    <col min="5886" max="5886" width="11.85546875" style="45" customWidth="1"/>
    <col min="5887" max="5887" width="13.28515625" style="45" customWidth="1"/>
    <col min="5888" max="5888" width="15.28515625" style="45" customWidth="1"/>
    <col min="5889" max="5889" width="11.85546875" style="45" customWidth="1"/>
    <col min="5890" max="5890" width="6.140625" style="45" customWidth="1"/>
    <col min="5891" max="5891" width="11.85546875" style="45" customWidth="1"/>
    <col min="5892" max="5892" width="9.42578125" style="45" customWidth="1"/>
    <col min="5893" max="5893" width="14.7109375" style="45" customWidth="1"/>
    <col min="5894" max="5894" width="11.5703125" style="45" customWidth="1"/>
    <col min="5895" max="5895" width="0.42578125" style="45" customWidth="1"/>
    <col min="5896" max="5896" width="10.5703125" style="45" bestFit="1" customWidth="1"/>
    <col min="5897" max="5897" width="12.28515625" style="45" customWidth="1"/>
    <col min="5898" max="5898" width="12.5703125" style="45" customWidth="1"/>
    <col min="5899" max="5899" width="10.5703125" style="45" customWidth="1"/>
    <col min="5900" max="5900" width="10.140625" style="45" customWidth="1"/>
    <col min="5901" max="5901" width="8.42578125" style="45" customWidth="1"/>
    <col min="5902" max="5902" width="18.85546875" style="45" customWidth="1"/>
    <col min="5903" max="5903" width="10.28515625" style="45" customWidth="1"/>
    <col min="5904" max="5904" width="11.42578125" style="45"/>
    <col min="5905" max="5905" width="12.140625" style="45" customWidth="1"/>
    <col min="5906" max="5906" width="10.5703125" style="45" customWidth="1"/>
    <col min="5907" max="5907" width="12.42578125" style="45" customWidth="1"/>
    <col min="5908" max="5908" width="15.140625" style="45" customWidth="1"/>
    <col min="5909" max="5909" width="13.5703125" style="45" customWidth="1"/>
    <col min="5910" max="5910" width="13.140625" style="45" customWidth="1"/>
    <col min="5911" max="5911" width="15.7109375" style="45" customWidth="1"/>
    <col min="5912" max="5912" width="37.5703125" style="45" customWidth="1"/>
    <col min="5913" max="6134" width="11.42578125" style="45"/>
    <col min="6135" max="6135" width="10.5703125" style="45" customWidth="1"/>
    <col min="6136" max="6136" width="4.85546875" style="45" customWidth="1"/>
    <col min="6137" max="6137" width="32.42578125" style="45" customWidth="1"/>
    <col min="6138" max="6138" width="9.85546875" style="45" customWidth="1"/>
    <col min="6139" max="6139" width="10.140625" style="45" customWidth="1"/>
    <col min="6140" max="6140" width="12.28515625" style="45" customWidth="1"/>
    <col min="6141" max="6141" width="15.42578125" style="45" customWidth="1"/>
    <col min="6142" max="6142" width="11.85546875" style="45" customWidth="1"/>
    <col min="6143" max="6143" width="13.28515625" style="45" customWidth="1"/>
    <col min="6144" max="6144" width="15.28515625" style="45" customWidth="1"/>
    <col min="6145" max="6145" width="11.85546875" style="45" customWidth="1"/>
    <col min="6146" max="6146" width="6.140625" style="45" customWidth="1"/>
    <col min="6147" max="6147" width="11.85546875" style="45" customWidth="1"/>
    <col min="6148" max="6148" width="9.42578125" style="45" customWidth="1"/>
    <col min="6149" max="6149" width="14.7109375" style="45" customWidth="1"/>
    <col min="6150" max="6150" width="11.5703125" style="45" customWidth="1"/>
    <col min="6151" max="6151" width="0.42578125" style="45" customWidth="1"/>
    <col min="6152" max="6152" width="10.5703125" style="45" bestFit="1" customWidth="1"/>
    <col min="6153" max="6153" width="12.28515625" style="45" customWidth="1"/>
    <col min="6154" max="6154" width="12.5703125" style="45" customWidth="1"/>
    <col min="6155" max="6155" width="10.5703125" style="45" customWidth="1"/>
    <col min="6156" max="6156" width="10.140625" style="45" customWidth="1"/>
    <col min="6157" max="6157" width="8.42578125" style="45" customWidth="1"/>
    <col min="6158" max="6158" width="18.85546875" style="45" customWidth="1"/>
    <col min="6159" max="6159" width="10.28515625" style="45" customWidth="1"/>
    <col min="6160" max="6160" width="11.42578125" style="45"/>
    <col min="6161" max="6161" width="12.140625" style="45" customWidth="1"/>
    <col min="6162" max="6162" width="10.5703125" style="45" customWidth="1"/>
    <col min="6163" max="6163" width="12.42578125" style="45" customWidth="1"/>
    <col min="6164" max="6164" width="15.140625" style="45" customWidth="1"/>
    <col min="6165" max="6165" width="13.5703125" style="45" customWidth="1"/>
    <col min="6166" max="6166" width="13.140625" style="45" customWidth="1"/>
    <col min="6167" max="6167" width="15.7109375" style="45" customWidth="1"/>
    <col min="6168" max="6168" width="37.5703125" style="45" customWidth="1"/>
    <col min="6169" max="6390" width="11.42578125" style="45"/>
    <col min="6391" max="6391" width="10.5703125" style="45" customWidth="1"/>
    <col min="6392" max="6392" width="4.85546875" style="45" customWidth="1"/>
    <col min="6393" max="6393" width="32.42578125" style="45" customWidth="1"/>
    <col min="6394" max="6394" width="9.85546875" style="45" customWidth="1"/>
    <col min="6395" max="6395" width="10.140625" style="45" customWidth="1"/>
    <col min="6396" max="6396" width="12.28515625" style="45" customWidth="1"/>
    <col min="6397" max="6397" width="15.42578125" style="45" customWidth="1"/>
    <col min="6398" max="6398" width="11.85546875" style="45" customWidth="1"/>
    <col min="6399" max="6399" width="13.28515625" style="45" customWidth="1"/>
    <col min="6400" max="6400" width="15.28515625" style="45" customWidth="1"/>
    <col min="6401" max="6401" width="11.85546875" style="45" customWidth="1"/>
    <col min="6402" max="6402" width="6.140625" style="45" customWidth="1"/>
    <col min="6403" max="6403" width="11.85546875" style="45" customWidth="1"/>
    <col min="6404" max="6404" width="9.42578125" style="45" customWidth="1"/>
    <col min="6405" max="6405" width="14.7109375" style="45" customWidth="1"/>
    <col min="6406" max="6406" width="11.5703125" style="45" customWidth="1"/>
    <col min="6407" max="6407" width="0.42578125" style="45" customWidth="1"/>
    <col min="6408" max="6408" width="10.5703125" style="45" bestFit="1" customWidth="1"/>
    <col min="6409" max="6409" width="12.28515625" style="45" customWidth="1"/>
    <col min="6410" max="6410" width="12.5703125" style="45" customWidth="1"/>
    <col min="6411" max="6411" width="10.5703125" style="45" customWidth="1"/>
    <col min="6412" max="6412" width="10.140625" style="45" customWidth="1"/>
    <col min="6413" max="6413" width="8.42578125" style="45" customWidth="1"/>
    <col min="6414" max="6414" width="18.85546875" style="45" customWidth="1"/>
    <col min="6415" max="6415" width="10.28515625" style="45" customWidth="1"/>
    <col min="6416" max="6416" width="11.42578125" style="45"/>
    <col min="6417" max="6417" width="12.140625" style="45" customWidth="1"/>
    <col min="6418" max="6418" width="10.5703125" style="45" customWidth="1"/>
    <col min="6419" max="6419" width="12.42578125" style="45" customWidth="1"/>
    <col min="6420" max="6420" width="15.140625" style="45" customWidth="1"/>
    <col min="6421" max="6421" width="13.5703125" style="45" customWidth="1"/>
    <col min="6422" max="6422" width="13.140625" style="45" customWidth="1"/>
    <col min="6423" max="6423" width="15.7109375" style="45" customWidth="1"/>
    <col min="6424" max="6424" width="37.5703125" style="45" customWidth="1"/>
    <col min="6425" max="6646" width="11.42578125" style="45"/>
    <col min="6647" max="6647" width="10.5703125" style="45" customWidth="1"/>
    <col min="6648" max="6648" width="4.85546875" style="45" customWidth="1"/>
    <col min="6649" max="6649" width="32.42578125" style="45" customWidth="1"/>
    <col min="6650" max="6650" width="9.85546875" style="45" customWidth="1"/>
    <col min="6651" max="6651" width="10.140625" style="45" customWidth="1"/>
    <col min="6652" max="6652" width="12.28515625" style="45" customWidth="1"/>
    <col min="6653" max="6653" width="15.42578125" style="45" customWidth="1"/>
    <col min="6654" max="6654" width="11.85546875" style="45" customWidth="1"/>
    <col min="6655" max="6655" width="13.28515625" style="45" customWidth="1"/>
    <col min="6656" max="6656" width="15.28515625" style="45" customWidth="1"/>
    <col min="6657" max="6657" width="11.85546875" style="45" customWidth="1"/>
    <col min="6658" max="6658" width="6.140625" style="45" customWidth="1"/>
    <col min="6659" max="6659" width="11.85546875" style="45" customWidth="1"/>
    <col min="6660" max="6660" width="9.42578125" style="45" customWidth="1"/>
    <col min="6661" max="6661" width="14.7109375" style="45" customWidth="1"/>
    <col min="6662" max="6662" width="11.5703125" style="45" customWidth="1"/>
    <col min="6663" max="6663" width="0.42578125" style="45" customWidth="1"/>
    <col min="6664" max="6664" width="10.5703125" style="45" bestFit="1" customWidth="1"/>
    <col min="6665" max="6665" width="12.28515625" style="45" customWidth="1"/>
    <col min="6666" max="6666" width="12.5703125" style="45" customWidth="1"/>
    <col min="6667" max="6667" width="10.5703125" style="45" customWidth="1"/>
    <col min="6668" max="6668" width="10.140625" style="45" customWidth="1"/>
    <col min="6669" max="6669" width="8.42578125" style="45" customWidth="1"/>
    <col min="6670" max="6670" width="18.85546875" style="45" customWidth="1"/>
    <col min="6671" max="6671" width="10.28515625" style="45" customWidth="1"/>
    <col min="6672" max="6672" width="11.42578125" style="45"/>
    <col min="6673" max="6673" width="12.140625" style="45" customWidth="1"/>
    <col min="6674" max="6674" width="10.5703125" style="45" customWidth="1"/>
    <col min="6675" max="6675" width="12.42578125" style="45" customWidth="1"/>
    <col min="6676" max="6676" width="15.140625" style="45" customWidth="1"/>
    <col min="6677" max="6677" width="13.5703125" style="45" customWidth="1"/>
    <col min="6678" max="6678" width="13.140625" style="45" customWidth="1"/>
    <col min="6679" max="6679" width="15.7109375" style="45" customWidth="1"/>
    <col min="6680" max="6680" width="37.5703125" style="45" customWidth="1"/>
    <col min="6681" max="6902" width="11.42578125" style="45"/>
    <col min="6903" max="6903" width="10.5703125" style="45" customWidth="1"/>
    <col min="6904" max="6904" width="4.85546875" style="45" customWidth="1"/>
    <col min="6905" max="6905" width="32.42578125" style="45" customWidth="1"/>
    <col min="6906" max="6906" width="9.85546875" style="45" customWidth="1"/>
    <col min="6907" max="6907" width="10.140625" style="45" customWidth="1"/>
    <col min="6908" max="6908" width="12.28515625" style="45" customWidth="1"/>
    <col min="6909" max="6909" width="15.42578125" style="45" customWidth="1"/>
    <col min="6910" max="6910" width="11.85546875" style="45" customWidth="1"/>
    <col min="6911" max="6911" width="13.28515625" style="45" customWidth="1"/>
    <col min="6912" max="6912" width="15.28515625" style="45" customWidth="1"/>
    <col min="6913" max="6913" width="11.85546875" style="45" customWidth="1"/>
    <col min="6914" max="6914" width="6.140625" style="45" customWidth="1"/>
    <col min="6915" max="6915" width="11.85546875" style="45" customWidth="1"/>
    <col min="6916" max="6916" width="9.42578125" style="45" customWidth="1"/>
    <col min="6917" max="6917" width="14.7109375" style="45" customWidth="1"/>
    <col min="6918" max="6918" width="11.5703125" style="45" customWidth="1"/>
    <col min="6919" max="6919" width="0.42578125" style="45" customWidth="1"/>
    <col min="6920" max="6920" width="10.5703125" style="45" bestFit="1" customWidth="1"/>
    <col min="6921" max="6921" width="12.28515625" style="45" customWidth="1"/>
    <col min="6922" max="6922" width="12.5703125" style="45" customWidth="1"/>
    <col min="6923" max="6923" width="10.5703125" style="45" customWidth="1"/>
    <col min="6924" max="6924" width="10.140625" style="45" customWidth="1"/>
    <col min="6925" max="6925" width="8.42578125" style="45" customWidth="1"/>
    <col min="6926" max="6926" width="18.85546875" style="45" customWidth="1"/>
    <col min="6927" max="6927" width="10.28515625" style="45" customWidth="1"/>
    <col min="6928" max="6928" width="11.42578125" style="45"/>
    <col min="6929" max="6929" width="12.140625" style="45" customWidth="1"/>
    <col min="6930" max="6930" width="10.5703125" style="45" customWidth="1"/>
    <col min="6931" max="6931" width="12.42578125" style="45" customWidth="1"/>
    <col min="6932" max="6932" width="15.140625" style="45" customWidth="1"/>
    <col min="6933" max="6933" width="13.5703125" style="45" customWidth="1"/>
    <col min="6934" max="6934" width="13.140625" style="45" customWidth="1"/>
    <col min="6935" max="6935" width="15.7109375" style="45" customWidth="1"/>
    <col min="6936" max="6936" width="37.5703125" style="45" customWidth="1"/>
    <col min="6937" max="7158" width="11.42578125" style="45"/>
    <col min="7159" max="7159" width="10.5703125" style="45" customWidth="1"/>
    <col min="7160" max="7160" width="4.85546875" style="45" customWidth="1"/>
    <col min="7161" max="7161" width="32.42578125" style="45" customWidth="1"/>
    <col min="7162" max="7162" width="9.85546875" style="45" customWidth="1"/>
    <col min="7163" max="7163" width="10.140625" style="45" customWidth="1"/>
    <col min="7164" max="7164" width="12.28515625" style="45" customWidth="1"/>
    <col min="7165" max="7165" width="15.42578125" style="45" customWidth="1"/>
    <col min="7166" max="7166" width="11.85546875" style="45" customWidth="1"/>
    <col min="7167" max="7167" width="13.28515625" style="45" customWidth="1"/>
    <col min="7168" max="7168" width="15.28515625" style="45" customWidth="1"/>
    <col min="7169" max="7169" width="11.85546875" style="45" customWidth="1"/>
    <col min="7170" max="7170" width="6.140625" style="45" customWidth="1"/>
    <col min="7171" max="7171" width="11.85546875" style="45" customWidth="1"/>
    <col min="7172" max="7172" width="9.42578125" style="45" customWidth="1"/>
    <col min="7173" max="7173" width="14.7109375" style="45" customWidth="1"/>
    <col min="7174" max="7174" width="11.5703125" style="45" customWidth="1"/>
    <col min="7175" max="7175" width="0.42578125" style="45" customWidth="1"/>
    <col min="7176" max="7176" width="10.5703125" style="45" bestFit="1" customWidth="1"/>
    <col min="7177" max="7177" width="12.28515625" style="45" customWidth="1"/>
    <col min="7178" max="7178" width="12.5703125" style="45" customWidth="1"/>
    <col min="7179" max="7179" width="10.5703125" style="45" customWidth="1"/>
    <col min="7180" max="7180" width="10.140625" style="45" customWidth="1"/>
    <col min="7181" max="7181" width="8.42578125" style="45" customWidth="1"/>
    <col min="7182" max="7182" width="18.85546875" style="45" customWidth="1"/>
    <col min="7183" max="7183" width="10.28515625" style="45" customWidth="1"/>
    <col min="7184" max="7184" width="11.42578125" style="45"/>
    <col min="7185" max="7185" width="12.140625" style="45" customWidth="1"/>
    <col min="7186" max="7186" width="10.5703125" style="45" customWidth="1"/>
    <col min="7187" max="7187" width="12.42578125" style="45" customWidth="1"/>
    <col min="7188" max="7188" width="15.140625" style="45" customWidth="1"/>
    <col min="7189" max="7189" width="13.5703125" style="45" customWidth="1"/>
    <col min="7190" max="7190" width="13.140625" style="45" customWidth="1"/>
    <col min="7191" max="7191" width="15.7109375" style="45" customWidth="1"/>
    <col min="7192" max="7192" width="37.5703125" style="45" customWidth="1"/>
    <col min="7193" max="7414" width="11.42578125" style="45"/>
    <col min="7415" max="7415" width="10.5703125" style="45" customWidth="1"/>
    <col min="7416" max="7416" width="4.85546875" style="45" customWidth="1"/>
    <col min="7417" max="7417" width="32.42578125" style="45" customWidth="1"/>
    <col min="7418" max="7418" width="9.85546875" style="45" customWidth="1"/>
    <col min="7419" max="7419" width="10.140625" style="45" customWidth="1"/>
    <col min="7420" max="7420" width="12.28515625" style="45" customWidth="1"/>
    <col min="7421" max="7421" width="15.42578125" style="45" customWidth="1"/>
    <col min="7422" max="7422" width="11.85546875" style="45" customWidth="1"/>
    <col min="7423" max="7423" width="13.28515625" style="45" customWidth="1"/>
    <col min="7424" max="7424" width="15.28515625" style="45" customWidth="1"/>
    <col min="7425" max="7425" width="11.85546875" style="45" customWidth="1"/>
    <col min="7426" max="7426" width="6.140625" style="45" customWidth="1"/>
    <col min="7427" max="7427" width="11.85546875" style="45" customWidth="1"/>
    <col min="7428" max="7428" width="9.42578125" style="45" customWidth="1"/>
    <col min="7429" max="7429" width="14.7109375" style="45" customWidth="1"/>
    <col min="7430" max="7430" width="11.5703125" style="45" customWidth="1"/>
    <col min="7431" max="7431" width="0.42578125" style="45" customWidth="1"/>
    <col min="7432" max="7432" width="10.5703125" style="45" bestFit="1" customWidth="1"/>
    <col min="7433" max="7433" width="12.28515625" style="45" customWidth="1"/>
    <col min="7434" max="7434" width="12.5703125" style="45" customWidth="1"/>
    <col min="7435" max="7435" width="10.5703125" style="45" customWidth="1"/>
    <col min="7436" max="7436" width="10.140625" style="45" customWidth="1"/>
    <col min="7437" max="7437" width="8.42578125" style="45" customWidth="1"/>
    <col min="7438" max="7438" width="18.85546875" style="45" customWidth="1"/>
    <col min="7439" max="7439" width="10.28515625" style="45" customWidth="1"/>
    <col min="7440" max="7440" width="11.42578125" style="45"/>
    <col min="7441" max="7441" width="12.140625" style="45" customWidth="1"/>
    <col min="7442" max="7442" width="10.5703125" style="45" customWidth="1"/>
    <col min="7443" max="7443" width="12.42578125" style="45" customWidth="1"/>
    <col min="7444" max="7444" width="15.140625" style="45" customWidth="1"/>
    <col min="7445" max="7445" width="13.5703125" style="45" customWidth="1"/>
    <col min="7446" max="7446" width="13.140625" style="45" customWidth="1"/>
    <col min="7447" max="7447" width="15.7109375" style="45" customWidth="1"/>
    <col min="7448" max="7448" width="37.5703125" style="45" customWidth="1"/>
    <col min="7449" max="7670" width="11.42578125" style="45"/>
    <col min="7671" max="7671" width="10.5703125" style="45" customWidth="1"/>
    <col min="7672" max="7672" width="4.85546875" style="45" customWidth="1"/>
    <col min="7673" max="7673" width="32.42578125" style="45" customWidth="1"/>
    <col min="7674" max="7674" width="9.85546875" style="45" customWidth="1"/>
    <col min="7675" max="7675" width="10.140625" style="45" customWidth="1"/>
    <col min="7676" max="7676" width="12.28515625" style="45" customWidth="1"/>
    <col min="7677" max="7677" width="15.42578125" style="45" customWidth="1"/>
    <col min="7678" max="7678" width="11.85546875" style="45" customWidth="1"/>
    <col min="7679" max="7679" width="13.28515625" style="45" customWidth="1"/>
    <col min="7680" max="7680" width="15.28515625" style="45" customWidth="1"/>
    <col min="7681" max="7681" width="11.85546875" style="45" customWidth="1"/>
    <col min="7682" max="7682" width="6.140625" style="45" customWidth="1"/>
    <col min="7683" max="7683" width="11.85546875" style="45" customWidth="1"/>
    <col min="7684" max="7684" width="9.42578125" style="45" customWidth="1"/>
    <col min="7685" max="7685" width="14.7109375" style="45" customWidth="1"/>
    <col min="7686" max="7686" width="11.5703125" style="45" customWidth="1"/>
    <col min="7687" max="7687" width="0.42578125" style="45" customWidth="1"/>
    <col min="7688" max="7688" width="10.5703125" style="45" bestFit="1" customWidth="1"/>
    <col min="7689" max="7689" width="12.28515625" style="45" customWidth="1"/>
    <col min="7690" max="7690" width="12.5703125" style="45" customWidth="1"/>
    <col min="7691" max="7691" width="10.5703125" style="45" customWidth="1"/>
    <col min="7692" max="7692" width="10.140625" style="45" customWidth="1"/>
    <col min="7693" max="7693" width="8.42578125" style="45" customWidth="1"/>
    <col min="7694" max="7694" width="18.85546875" style="45" customWidth="1"/>
    <col min="7695" max="7695" width="10.28515625" style="45" customWidth="1"/>
    <col min="7696" max="7696" width="11.42578125" style="45"/>
    <col min="7697" max="7697" width="12.140625" style="45" customWidth="1"/>
    <col min="7698" max="7698" width="10.5703125" style="45" customWidth="1"/>
    <col min="7699" max="7699" width="12.42578125" style="45" customWidth="1"/>
    <col min="7700" max="7700" width="15.140625" style="45" customWidth="1"/>
    <col min="7701" max="7701" width="13.5703125" style="45" customWidth="1"/>
    <col min="7702" max="7702" width="13.140625" style="45" customWidth="1"/>
    <col min="7703" max="7703" width="15.7109375" style="45" customWidth="1"/>
    <col min="7704" max="7704" width="37.5703125" style="45" customWidth="1"/>
    <col min="7705" max="7926" width="11.42578125" style="45"/>
    <col min="7927" max="7927" width="10.5703125" style="45" customWidth="1"/>
    <col min="7928" max="7928" width="4.85546875" style="45" customWidth="1"/>
    <col min="7929" max="7929" width="32.42578125" style="45" customWidth="1"/>
    <col min="7930" max="7930" width="9.85546875" style="45" customWidth="1"/>
    <col min="7931" max="7931" width="10.140625" style="45" customWidth="1"/>
    <col min="7932" max="7932" width="12.28515625" style="45" customWidth="1"/>
    <col min="7933" max="7933" width="15.42578125" style="45" customWidth="1"/>
    <col min="7934" max="7934" width="11.85546875" style="45" customWidth="1"/>
    <col min="7935" max="7935" width="13.28515625" style="45" customWidth="1"/>
    <col min="7936" max="7936" width="15.28515625" style="45" customWidth="1"/>
    <col min="7937" max="7937" width="11.85546875" style="45" customWidth="1"/>
    <col min="7938" max="7938" width="6.140625" style="45" customWidth="1"/>
    <col min="7939" max="7939" width="11.85546875" style="45" customWidth="1"/>
    <col min="7940" max="7940" width="9.42578125" style="45" customWidth="1"/>
    <col min="7941" max="7941" width="14.7109375" style="45" customWidth="1"/>
    <col min="7942" max="7942" width="11.5703125" style="45" customWidth="1"/>
    <col min="7943" max="7943" width="0.42578125" style="45" customWidth="1"/>
    <col min="7944" max="7944" width="10.5703125" style="45" bestFit="1" customWidth="1"/>
    <col min="7945" max="7945" width="12.28515625" style="45" customWidth="1"/>
    <col min="7946" max="7946" width="12.5703125" style="45" customWidth="1"/>
    <col min="7947" max="7947" width="10.5703125" style="45" customWidth="1"/>
    <col min="7948" max="7948" width="10.140625" style="45" customWidth="1"/>
    <col min="7949" max="7949" width="8.42578125" style="45" customWidth="1"/>
    <col min="7950" max="7950" width="18.85546875" style="45" customWidth="1"/>
    <col min="7951" max="7951" width="10.28515625" style="45" customWidth="1"/>
    <col min="7952" max="7952" width="11.42578125" style="45"/>
    <col min="7953" max="7953" width="12.140625" style="45" customWidth="1"/>
    <col min="7954" max="7954" width="10.5703125" style="45" customWidth="1"/>
    <col min="7955" max="7955" width="12.42578125" style="45" customWidth="1"/>
    <col min="7956" max="7956" width="15.140625" style="45" customWidth="1"/>
    <col min="7957" max="7957" width="13.5703125" style="45" customWidth="1"/>
    <col min="7958" max="7958" width="13.140625" style="45" customWidth="1"/>
    <col min="7959" max="7959" width="15.7109375" style="45" customWidth="1"/>
    <col min="7960" max="7960" width="37.5703125" style="45" customWidth="1"/>
    <col min="7961" max="8182" width="11.42578125" style="45"/>
    <col min="8183" max="8183" width="10.5703125" style="45" customWidth="1"/>
    <col min="8184" max="8184" width="4.85546875" style="45" customWidth="1"/>
    <col min="8185" max="8185" width="32.42578125" style="45" customWidth="1"/>
    <col min="8186" max="8186" width="9.85546875" style="45" customWidth="1"/>
    <col min="8187" max="8187" width="10.140625" style="45" customWidth="1"/>
    <col min="8188" max="8188" width="12.28515625" style="45" customWidth="1"/>
    <col min="8189" max="8189" width="15.42578125" style="45" customWidth="1"/>
    <col min="8190" max="8190" width="11.85546875" style="45" customWidth="1"/>
    <col min="8191" max="8191" width="13.28515625" style="45" customWidth="1"/>
    <col min="8192" max="8192" width="15.28515625" style="45" customWidth="1"/>
    <col min="8193" max="8193" width="11.85546875" style="45" customWidth="1"/>
    <col min="8194" max="8194" width="6.140625" style="45" customWidth="1"/>
    <col min="8195" max="8195" width="11.85546875" style="45" customWidth="1"/>
    <col min="8196" max="8196" width="9.42578125" style="45" customWidth="1"/>
    <col min="8197" max="8197" width="14.7109375" style="45" customWidth="1"/>
    <col min="8198" max="8198" width="11.5703125" style="45" customWidth="1"/>
    <col min="8199" max="8199" width="0.42578125" style="45" customWidth="1"/>
    <col min="8200" max="8200" width="10.5703125" style="45" bestFit="1" customWidth="1"/>
    <col min="8201" max="8201" width="12.28515625" style="45" customWidth="1"/>
    <col min="8202" max="8202" width="12.5703125" style="45" customWidth="1"/>
    <col min="8203" max="8203" width="10.5703125" style="45" customWidth="1"/>
    <col min="8204" max="8204" width="10.140625" style="45" customWidth="1"/>
    <col min="8205" max="8205" width="8.42578125" style="45" customWidth="1"/>
    <col min="8206" max="8206" width="18.85546875" style="45" customWidth="1"/>
    <col min="8207" max="8207" width="10.28515625" style="45" customWidth="1"/>
    <col min="8208" max="8208" width="11.42578125" style="45"/>
    <col min="8209" max="8209" width="12.140625" style="45" customWidth="1"/>
    <col min="8210" max="8210" width="10.5703125" style="45" customWidth="1"/>
    <col min="8211" max="8211" width="12.42578125" style="45" customWidth="1"/>
    <col min="8212" max="8212" width="15.140625" style="45" customWidth="1"/>
    <col min="8213" max="8213" width="13.5703125" style="45" customWidth="1"/>
    <col min="8214" max="8214" width="13.140625" style="45" customWidth="1"/>
    <col min="8215" max="8215" width="15.7109375" style="45" customWidth="1"/>
    <col min="8216" max="8216" width="37.5703125" style="45" customWidth="1"/>
    <col min="8217" max="8438" width="11.42578125" style="45"/>
    <col min="8439" max="8439" width="10.5703125" style="45" customWidth="1"/>
    <col min="8440" max="8440" width="4.85546875" style="45" customWidth="1"/>
    <col min="8441" max="8441" width="32.42578125" style="45" customWidth="1"/>
    <col min="8442" max="8442" width="9.85546875" style="45" customWidth="1"/>
    <col min="8443" max="8443" width="10.140625" style="45" customWidth="1"/>
    <col min="8444" max="8444" width="12.28515625" style="45" customWidth="1"/>
    <col min="8445" max="8445" width="15.42578125" style="45" customWidth="1"/>
    <col min="8446" max="8446" width="11.85546875" style="45" customWidth="1"/>
    <col min="8447" max="8447" width="13.28515625" style="45" customWidth="1"/>
    <col min="8448" max="8448" width="15.28515625" style="45" customWidth="1"/>
    <col min="8449" max="8449" width="11.85546875" style="45" customWidth="1"/>
    <col min="8450" max="8450" width="6.140625" style="45" customWidth="1"/>
    <col min="8451" max="8451" width="11.85546875" style="45" customWidth="1"/>
    <col min="8452" max="8452" width="9.42578125" style="45" customWidth="1"/>
    <col min="8453" max="8453" width="14.7109375" style="45" customWidth="1"/>
    <col min="8454" max="8454" width="11.5703125" style="45" customWidth="1"/>
    <col min="8455" max="8455" width="0.42578125" style="45" customWidth="1"/>
    <col min="8456" max="8456" width="10.5703125" style="45" bestFit="1" customWidth="1"/>
    <col min="8457" max="8457" width="12.28515625" style="45" customWidth="1"/>
    <col min="8458" max="8458" width="12.5703125" style="45" customWidth="1"/>
    <col min="8459" max="8459" width="10.5703125" style="45" customWidth="1"/>
    <col min="8460" max="8460" width="10.140625" style="45" customWidth="1"/>
    <col min="8461" max="8461" width="8.42578125" style="45" customWidth="1"/>
    <col min="8462" max="8462" width="18.85546875" style="45" customWidth="1"/>
    <col min="8463" max="8463" width="10.28515625" style="45" customWidth="1"/>
    <col min="8464" max="8464" width="11.42578125" style="45"/>
    <col min="8465" max="8465" width="12.140625" style="45" customWidth="1"/>
    <col min="8466" max="8466" width="10.5703125" style="45" customWidth="1"/>
    <col min="8467" max="8467" width="12.42578125" style="45" customWidth="1"/>
    <col min="8468" max="8468" width="15.140625" style="45" customWidth="1"/>
    <col min="8469" max="8469" width="13.5703125" style="45" customWidth="1"/>
    <col min="8470" max="8470" width="13.140625" style="45" customWidth="1"/>
    <col min="8471" max="8471" width="15.7109375" style="45" customWidth="1"/>
    <col min="8472" max="8472" width="37.5703125" style="45" customWidth="1"/>
    <col min="8473" max="8694" width="11.42578125" style="45"/>
    <col min="8695" max="8695" width="10.5703125" style="45" customWidth="1"/>
    <col min="8696" max="8696" width="4.85546875" style="45" customWidth="1"/>
    <col min="8697" max="8697" width="32.42578125" style="45" customWidth="1"/>
    <col min="8698" max="8698" width="9.85546875" style="45" customWidth="1"/>
    <col min="8699" max="8699" width="10.140625" style="45" customWidth="1"/>
    <col min="8700" max="8700" width="12.28515625" style="45" customWidth="1"/>
    <col min="8701" max="8701" width="15.42578125" style="45" customWidth="1"/>
    <col min="8702" max="8702" width="11.85546875" style="45" customWidth="1"/>
    <col min="8703" max="8703" width="13.28515625" style="45" customWidth="1"/>
    <col min="8704" max="8704" width="15.28515625" style="45" customWidth="1"/>
    <col min="8705" max="8705" width="11.85546875" style="45" customWidth="1"/>
    <col min="8706" max="8706" width="6.140625" style="45" customWidth="1"/>
    <col min="8707" max="8707" width="11.85546875" style="45" customWidth="1"/>
    <col min="8708" max="8708" width="9.42578125" style="45" customWidth="1"/>
    <col min="8709" max="8709" width="14.7109375" style="45" customWidth="1"/>
    <col min="8710" max="8710" width="11.5703125" style="45" customWidth="1"/>
    <col min="8711" max="8711" width="0.42578125" style="45" customWidth="1"/>
    <col min="8712" max="8712" width="10.5703125" style="45" bestFit="1" customWidth="1"/>
    <col min="8713" max="8713" width="12.28515625" style="45" customWidth="1"/>
    <col min="8714" max="8714" width="12.5703125" style="45" customWidth="1"/>
    <col min="8715" max="8715" width="10.5703125" style="45" customWidth="1"/>
    <col min="8716" max="8716" width="10.140625" style="45" customWidth="1"/>
    <col min="8717" max="8717" width="8.42578125" style="45" customWidth="1"/>
    <col min="8718" max="8718" width="18.85546875" style="45" customWidth="1"/>
    <col min="8719" max="8719" width="10.28515625" style="45" customWidth="1"/>
    <col min="8720" max="8720" width="11.42578125" style="45"/>
    <col min="8721" max="8721" width="12.140625" style="45" customWidth="1"/>
    <col min="8722" max="8722" width="10.5703125" style="45" customWidth="1"/>
    <col min="8723" max="8723" width="12.42578125" style="45" customWidth="1"/>
    <col min="8724" max="8724" width="15.140625" style="45" customWidth="1"/>
    <col min="8725" max="8725" width="13.5703125" style="45" customWidth="1"/>
    <col min="8726" max="8726" width="13.140625" style="45" customWidth="1"/>
    <col min="8727" max="8727" width="15.7109375" style="45" customWidth="1"/>
    <col min="8728" max="8728" width="37.5703125" style="45" customWidth="1"/>
    <col min="8729" max="8950" width="11.42578125" style="45"/>
    <col min="8951" max="8951" width="10.5703125" style="45" customWidth="1"/>
    <col min="8952" max="8952" width="4.85546875" style="45" customWidth="1"/>
    <col min="8953" max="8953" width="32.42578125" style="45" customWidth="1"/>
    <col min="8954" max="8954" width="9.85546875" style="45" customWidth="1"/>
    <col min="8955" max="8955" width="10.140625" style="45" customWidth="1"/>
    <col min="8956" max="8956" width="12.28515625" style="45" customWidth="1"/>
    <col min="8957" max="8957" width="15.42578125" style="45" customWidth="1"/>
    <col min="8958" max="8958" width="11.85546875" style="45" customWidth="1"/>
    <col min="8959" max="8959" width="13.28515625" style="45" customWidth="1"/>
    <col min="8960" max="8960" width="15.28515625" style="45" customWidth="1"/>
    <col min="8961" max="8961" width="11.85546875" style="45" customWidth="1"/>
    <col min="8962" max="8962" width="6.140625" style="45" customWidth="1"/>
    <col min="8963" max="8963" width="11.85546875" style="45" customWidth="1"/>
    <col min="8964" max="8964" width="9.42578125" style="45" customWidth="1"/>
    <col min="8965" max="8965" width="14.7109375" style="45" customWidth="1"/>
    <col min="8966" max="8966" width="11.5703125" style="45" customWidth="1"/>
    <col min="8967" max="8967" width="0.42578125" style="45" customWidth="1"/>
    <col min="8968" max="8968" width="10.5703125" style="45" bestFit="1" customWidth="1"/>
    <col min="8969" max="8969" width="12.28515625" style="45" customWidth="1"/>
    <col min="8970" max="8970" width="12.5703125" style="45" customWidth="1"/>
    <col min="8971" max="8971" width="10.5703125" style="45" customWidth="1"/>
    <col min="8972" max="8972" width="10.140625" style="45" customWidth="1"/>
    <col min="8973" max="8973" width="8.42578125" style="45" customWidth="1"/>
    <col min="8974" max="8974" width="18.85546875" style="45" customWidth="1"/>
    <col min="8975" max="8975" width="10.28515625" style="45" customWidth="1"/>
    <col min="8976" max="8976" width="11.42578125" style="45"/>
    <col min="8977" max="8977" width="12.140625" style="45" customWidth="1"/>
    <col min="8978" max="8978" width="10.5703125" style="45" customWidth="1"/>
    <col min="8979" max="8979" width="12.42578125" style="45" customWidth="1"/>
    <col min="8980" max="8980" width="15.140625" style="45" customWidth="1"/>
    <col min="8981" max="8981" width="13.5703125" style="45" customWidth="1"/>
    <col min="8982" max="8982" width="13.140625" style="45" customWidth="1"/>
    <col min="8983" max="8983" width="15.7109375" style="45" customWidth="1"/>
    <col min="8984" max="8984" width="37.5703125" style="45" customWidth="1"/>
    <col min="8985" max="9206" width="11.42578125" style="45"/>
    <col min="9207" max="9207" width="10.5703125" style="45" customWidth="1"/>
    <col min="9208" max="9208" width="4.85546875" style="45" customWidth="1"/>
    <col min="9209" max="9209" width="32.42578125" style="45" customWidth="1"/>
    <col min="9210" max="9210" width="9.85546875" style="45" customWidth="1"/>
    <col min="9211" max="9211" width="10.140625" style="45" customWidth="1"/>
    <col min="9212" max="9212" width="12.28515625" style="45" customWidth="1"/>
    <col min="9213" max="9213" width="15.42578125" style="45" customWidth="1"/>
    <col min="9214" max="9214" width="11.85546875" style="45" customWidth="1"/>
    <col min="9215" max="9215" width="13.28515625" style="45" customWidth="1"/>
    <col min="9216" max="9216" width="15.28515625" style="45" customWidth="1"/>
    <col min="9217" max="9217" width="11.85546875" style="45" customWidth="1"/>
    <col min="9218" max="9218" width="6.140625" style="45" customWidth="1"/>
    <col min="9219" max="9219" width="11.85546875" style="45" customWidth="1"/>
    <col min="9220" max="9220" width="9.42578125" style="45" customWidth="1"/>
    <col min="9221" max="9221" width="14.7109375" style="45" customWidth="1"/>
    <col min="9222" max="9222" width="11.5703125" style="45" customWidth="1"/>
    <col min="9223" max="9223" width="0.42578125" style="45" customWidth="1"/>
    <col min="9224" max="9224" width="10.5703125" style="45" bestFit="1" customWidth="1"/>
    <col min="9225" max="9225" width="12.28515625" style="45" customWidth="1"/>
    <col min="9226" max="9226" width="12.5703125" style="45" customWidth="1"/>
    <col min="9227" max="9227" width="10.5703125" style="45" customWidth="1"/>
    <col min="9228" max="9228" width="10.140625" style="45" customWidth="1"/>
    <col min="9229" max="9229" width="8.42578125" style="45" customWidth="1"/>
    <col min="9230" max="9230" width="18.85546875" style="45" customWidth="1"/>
    <col min="9231" max="9231" width="10.28515625" style="45" customWidth="1"/>
    <col min="9232" max="9232" width="11.42578125" style="45"/>
    <col min="9233" max="9233" width="12.140625" style="45" customWidth="1"/>
    <col min="9234" max="9234" width="10.5703125" style="45" customWidth="1"/>
    <col min="9235" max="9235" width="12.42578125" style="45" customWidth="1"/>
    <col min="9236" max="9236" width="15.140625" style="45" customWidth="1"/>
    <col min="9237" max="9237" width="13.5703125" style="45" customWidth="1"/>
    <col min="9238" max="9238" width="13.140625" style="45" customWidth="1"/>
    <col min="9239" max="9239" width="15.7109375" style="45" customWidth="1"/>
    <col min="9240" max="9240" width="37.5703125" style="45" customWidth="1"/>
    <col min="9241" max="9462" width="11.42578125" style="45"/>
    <col min="9463" max="9463" width="10.5703125" style="45" customWidth="1"/>
    <col min="9464" max="9464" width="4.85546875" style="45" customWidth="1"/>
    <col min="9465" max="9465" width="32.42578125" style="45" customWidth="1"/>
    <col min="9466" max="9466" width="9.85546875" style="45" customWidth="1"/>
    <col min="9467" max="9467" width="10.140625" style="45" customWidth="1"/>
    <col min="9468" max="9468" width="12.28515625" style="45" customWidth="1"/>
    <col min="9469" max="9469" width="15.42578125" style="45" customWidth="1"/>
    <col min="9470" max="9470" width="11.85546875" style="45" customWidth="1"/>
    <col min="9471" max="9471" width="13.28515625" style="45" customWidth="1"/>
    <col min="9472" max="9472" width="15.28515625" style="45" customWidth="1"/>
    <col min="9473" max="9473" width="11.85546875" style="45" customWidth="1"/>
    <col min="9474" max="9474" width="6.140625" style="45" customWidth="1"/>
    <col min="9475" max="9475" width="11.85546875" style="45" customWidth="1"/>
    <col min="9476" max="9476" width="9.42578125" style="45" customWidth="1"/>
    <col min="9477" max="9477" width="14.7109375" style="45" customWidth="1"/>
    <col min="9478" max="9478" width="11.5703125" style="45" customWidth="1"/>
    <col min="9479" max="9479" width="0.42578125" style="45" customWidth="1"/>
    <col min="9480" max="9480" width="10.5703125" style="45" bestFit="1" customWidth="1"/>
    <col min="9481" max="9481" width="12.28515625" style="45" customWidth="1"/>
    <col min="9482" max="9482" width="12.5703125" style="45" customWidth="1"/>
    <col min="9483" max="9483" width="10.5703125" style="45" customWidth="1"/>
    <col min="9484" max="9484" width="10.140625" style="45" customWidth="1"/>
    <col min="9485" max="9485" width="8.42578125" style="45" customWidth="1"/>
    <col min="9486" max="9486" width="18.85546875" style="45" customWidth="1"/>
    <col min="9487" max="9487" width="10.28515625" style="45" customWidth="1"/>
    <col min="9488" max="9488" width="11.42578125" style="45"/>
    <col min="9489" max="9489" width="12.140625" style="45" customWidth="1"/>
    <col min="9490" max="9490" width="10.5703125" style="45" customWidth="1"/>
    <col min="9491" max="9491" width="12.42578125" style="45" customWidth="1"/>
    <col min="9492" max="9492" width="15.140625" style="45" customWidth="1"/>
    <col min="9493" max="9493" width="13.5703125" style="45" customWidth="1"/>
    <col min="9494" max="9494" width="13.140625" style="45" customWidth="1"/>
    <col min="9495" max="9495" width="15.7109375" style="45" customWidth="1"/>
    <col min="9496" max="9496" width="37.5703125" style="45" customWidth="1"/>
    <col min="9497" max="9718" width="11.42578125" style="45"/>
    <col min="9719" max="9719" width="10.5703125" style="45" customWidth="1"/>
    <col min="9720" max="9720" width="4.85546875" style="45" customWidth="1"/>
    <col min="9721" max="9721" width="32.42578125" style="45" customWidth="1"/>
    <col min="9722" max="9722" width="9.85546875" style="45" customWidth="1"/>
    <col min="9723" max="9723" width="10.140625" style="45" customWidth="1"/>
    <col min="9724" max="9724" width="12.28515625" style="45" customWidth="1"/>
    <col min="9725" max="9725" width="15.42578125" style="45" customWidth="1"/>
    <col min="9726" max="9726" width="11.85546875" style="45" customWidth="1"/>
    <col min="9727" max="9727" width="13.28515625" style="45" customWidth="1"/>
    <col min="9728" max="9728" width="15.28515625" style="45" customWidth="1"/>
    <col min="9729" max="9729" width="11.85546875" style="45" customWidth="1"/>
    <col min="9730" max="9730" width="6.140625" style="45" customWidth="1"/>
    <col min="9731" max="9731" width="11.85546875" style="45" customWidth="1"/>
    <col min="9732" max="9732" width="9.42578125" style="45" customWidth="1"/>
    <col min="9733" max="9733" width="14.7109375" style="45" customWidth="1"/>
    <col min="9734" max="9734" width="11.5703125" style="45" customWidth="1"/>
    <col min="9735" max="9735" width="0.42578125" style="45" customWidth="1"/>
    <col min="9736" max="9736" width="10.5703125" style="45" bestFit="1" customWidth="1"/>
    <col min="9737" max="9737" width="12.28515625" style="45" customWidth="1"/>
    <col min="9738" max="9738" width="12.5703125" style="45" customWidth="1"/>
    <col min="9739" max="9739" width="10.5703125" style="45" customWidth="1"/>
    <col min="9740" max="9740" width="10.140625" style="45" customWidth="1"/>
    <col min="9741" max="9741" width="8.42578125" style="45" customWidth="1"/>
    <col min="9742" max="9742" width="18.85546875" style="45" customWidth="1"/>
    <col min="9743" max="9743" width="10.28515625" style="45" customWidth="1"/>
    <col min="9744" max="9744" width="11.42578125" style="45"/>
    <col min="9745" max="9745" width="12.140625" style="45" customWidth="1"/>
    <col min="9746" max="9746" width="10.5703125" style="45" customWidth="1"/>
    <col min="9747" max="9747" width="12.42578125" style="45" customWidth="1"/>
    <col min="9748" max="9748" width="15.140625" style="45" customWidth="1"/>
    <col min="9749" max="9749" width="13.5703125" style="45" customWidth="1"/>
    <col min="9750" max="9750" width="13.140625" style="45" customWidth="1"/>
    <col min="9751" max="9751" width="15.7109375" style="45" customWidth="1"/>
    <col min="9752" max="9752" width="37.5703125" style="45" customWidth="1"/>
    <col min="9753" max="9974" width="11.42578125" style="45"/>
    <col min="9975" max="9975" width="10.5703125" style="45" customWidth="1"/>
    <col min="9976" max="9976" width="4.85546875" style="45" customWidth="1"/>
    <col min="9977" max="9977" width="32.42578125" style="45" customWidth="1"/>
    <col min="9978" max="9978" width="9.85546875" style="45" customWidth="1"/>
    <col min="9979" max="9979" width="10.140625" style="45" customWidth="1"/>
    <col min="9980" max="9980" width="12.28515625" style="45" customWidth="1"/>
    <col min="9981" max="9981" width="15.42578125" style="45" customWidth="1"/>
    <col min="9982" max="9982" width="11.85546875" style="45" customWidth="1"/>
    <col min="9983" max="9983" width="13.28515625" style="45" customWidth="1"/>
    <col min="9984" max="9984" width="15.28515625" style="45" customWidth="1"/>
    <col min="9985" max="9985" width="11.85546875" style="45" customWidth="1"/>
    <col min="9986" max="9986" width="6.140625" style="45" customWidth="1"/>
    <col min="9987" max="9987" width="11.85546875" style="45" customWidth="1"/>
    <col min="9988" max="9988" width="9.42578125" style="45" customWidth="1"/>
    <col min="9989" max="9989" width="14.7109375" style="45" customWidth="1"/>
    <col min="9990" max="9990" width="11.5703125" style="45" customWidth="1"/>
    <col min="9991" max="9991" width="0.42578125" style="45" customWidth="1"/>
    <col min="9992" max="9992" width="10.5703125" style="45" bestFit="1" customWidth="1"/>
    <col min="9993" max="9993" width="12.28515625" style="45" customWidth="1"/>
    <col min="9994" max="9994" width="12.5703125" style="45" customWidth="1"/>
    <col min="9995" max="9995" width="10.5703125" style="45" customWidth="1"/>
    <col min="9996" max="9996" width="10.140625" style="45" customWidth="1"/>
    <col min="9997" max="9997" width="8.42578125" style="45" customWidth="1"/>
    <col min="9998" max="9998" width="18.85546875" style="45" customWidth="1"/>
    <col min="9999" max="9999" width="10.28515625" style="45" customWidth="1"/>
    <col min="10000" max="10000" width="11.42578125" style="45"/>
    <col min="10001" max="10001" width="12.140625" style="45" customWidth="1"/>
    <col min="10002" max="10002" width="10.5703125" style="45" customWidth="1"/>
    <col min="10003" max="10003" width="12.42578125" style="45" customWidth="1"/>
    <col min="10004" max="10004" width="15.140625" style="45" customWidth="1"/>
    <col min="10005" max="10005" width="13.5703125" style="45" customWidth="1"/>
    <col min="10006" max="10006" width="13.140625" style="45" customWidth="1"/>
    <col min="10007" max="10007" width="15.7109375" style="45" customWidth="1"/>
    <col min="10008" max="10008" width="37.5703125" style="45" customWidth="1"/>
    <col min="10009" max="10230" width="11.42578125" style="45"/>
    <col min="10231" max="10231" width="10.5703125" style="45" customWidth="1"/>
    <col min="10232" max="10232" width="4.85546875" style="45" customWidth="1"/>
    <col min="10233" max="10233" width="32.42578125" style="45" customWidth="1"/>
    <col min="10234" max="10234" width="9.85546875" style="45" customWidth="1"/>
    <col min="10235" max="10235" width="10.140625" style="45" customWidth="1"/>
    <col min="10236" max="10236" width="12.28515625" style="45" customWidth="1"/>
    <col min="10237" max="10237" width="15.42578125" style="45" customWidth="1"/>
    <col min="10238" max="10238" width="11.85546875" style="45" customWidth="1"/>
    <col min="10239" max="10239" width="13.28515625" style="45" customWidth="1"/>
    <col min="10240" max="10240" width="15.28515625" style="45" customWidth="1"/>
    <col min="10241" max="10241" width="11.85546875" style="45" customWidth="1"/>
    <col min="10242" max="10242" width="6.140625" style="45" customWidth="1"/>
    <col min="10243" max="10243" width="11.85546875" style="45" customWidth="1"/>
    <col min="10244" max="10244" width="9.42578125" style="45" customWidth="1"/>
    <col min="10245" max="10245" width="14.7109375" style="45" customWidth="1"/>
    <col min="10246" max="10246" width="11.5703125" style="45" customWidth="1"/>
    <col min="10247" max="10247" width="0.42578125" style="45" customWidth="1"/>
    <col min="10248" max="10248" width="10.5703125" style="45" bestFit="1" customWidth="1"/>
    <col min="10249" max="10249" width="12.28515625" style="45" customWidth="1"/>
    <col min="10250" max="10250" width="12.5703125" style="45" customWidth="1"/>
    <col min="10251" max="10251" width="10.5703125" style="45" customWidth="1"/>
    <col min="10252" max="10252" width="10.140625" style="45" customWidth="1"/>
    <col min="10253" max="10253" width="8.42578125" style="45" customWidth="1"/>
    <col min="10254" max="10254" width="18.85546875" style="45" customWidth="1"/>
    <col min="10255" max="10255" width="10.28515625" style="45" customWidth="1"/>
    <col min="10256" max="10256" width="11.42578125" style="45"/>
    <col min="10257" max="10257" width="12.140625" style="45" customWidth="1"/>
    <col min="10258" max="10258" width="10.5703125" style="45" customWidth="1"/>
    <col min="10259" max="10259" width="12.42578125" style="45" customWidth="1"/>
    <col min="10260" max="10260" width="15.140625" style="45" customWidth="1"/>
    <col min="10261" max="10261" width="13.5703125" style="45" customWidth="1"/>
    <col min="10262" max="10262" width="13.140625" style="45" customWidth="1"/>
    <col min="10263" max="10263" width="15.7109375" style="45" customWidth="1"/>
    <col min="10264" max="10264" width="37.5703125" style="45" customWidth="1"/>
    <col min="10265" max="10486" width="11.42578125" style="45"/>
    <col min="10487" max="10487" width="10.5703125" style="45" customWidth="1"/>
    <col min="10488" max="10488" width="4.85546875" style="45" customWidth="1"/>
    <col min="10489" max="10489" width="32.42578125" style="45" customWidth="1"/>
    <col min="10490" max="10490" width="9.85546875" style="45" customWidth="1"/>
    <col min="10491" max="10491" width="10.140625" style="45" customWidth="1"/>
    <col min="10492" max="10492" width="12.28515625" style="45" customWidth="1"/>
    <col min="10493" max="10493" width="15.42578125" style="45" customWidth="1"/>
    <col min="10494" max="10494" width="11.85546875" style="45" customWidth="1"/>
    <col min="10495" max="10495" width="13.28515625" style="45" customWidth="1"/>
    <col min="10496" max="10496" width="15.28515625" style="45" customWidth="1"/>
    <col min="10497" max="10497" width="11.85546875" style="45" customWidth="1"/>
    <col min="10498" max="10498" width="6.140625" style="45" customWidth="1"/>
    <col min="10499" max="10499" width="11.85546875" style="45" customWidth="1"/>
    <col min="10500" max="10500" width="9.42578125" style="45" customWidth="1"/>
    <col min="10501" max="10501" width="14.7109375" style="45" customWidth="1"/>
    <col min="10502" max="10502" width="11.5703125" style="45" customWidth="1"/>
    <col min="10503" max="10503" width="0.42578125" style="45" customWidth="1"/>
    <col min="10504" max="10504" width="10.5703125" style="45" bestFit="1" customWidth="1"/>
    <col min="10505" max="10505" width="12.28515625" style="45" customWidth="1"/>
    <col min="10506" max="10506" width="12.5703125" style="45" customWidth="1"/>
    <col min="10507" max="10507" width="10.5703125" style="45" customWidth="1"/>
    <col min="10508" max="10508" width="10.140625" style="45" customWidth="1"/>
    <col min="10509" max="10509" width="8.42578125" style="45" customWidth="1"/>
    <col min="10510" max="10510" width="18.85546875" style="45" customWidth="1"/>
    <col min="10511" max="10511" width="10.28515625" style="45" customWidth="1"/>
    <col min="10512" max="10512" width="11.42578125" style="45"/>
    <col min="10513" max="10513" width="12.140625" style="45" customWidth="1"/>
    <col min="10514" max="10514" width="10.5703125" style="45" customWidth="1"/>
    <col min="10515" max="10515" width="12.42578125" style="45" customWidth="1"/>
    <col min="10516" max="10516" width="15.140625" style="45" customWidth="1"/>
    <col min="10517" max="10517" width="13.5703125" style="45" customWidth="1"/>
    <col min="10518" max="10518" width="13.140625" style="45" customWidth="1"/>
    <col min="10519" max="10519" width="15.7109375" style="45" customWidth="1"/>
    <col min="10520" max="10520" width="37.5703125" style="45" customWidth="1"/>
    <col min="10521" max="10742" width="11.42578125" style="45"/>
    <col min="10743" max="10743" width="10.5703125" style="45" customWidth="1"/>
    <col min="10744" max="10744" width="4.85546875" style="45" customWidth="1"/>
    <col min="10745" max="10745" width="32.42578125" style="45" customWidth="1"/>
    <col min="10746" max="10746" width="9.85546875" style="45" customWidth="1"/>
    <col min="10747" max="10747" width="10.140625" style="45" customWidth="1"/>
    <col min="10748" max="10748" width="12.28515625" style="45" customWidth="1"/>
    <col min="10749" max="10749" width="15.42578125" style="45" customWidth="1"/>
    <col min="10750" max="10750" width="11.85546875" style="45" customWidth="1"/>
    <col min="10751" max="10751" width="13.28515625" style="45" customWidth="1"/>
    <col min="10752" max="10752" width="15.28515625" style="45" customWidth="1"/>
    <col min="10753" max="10753" width="11.85546875" style="45" customWidth="1"/>
    <col min="10754" max="10754" width="6.140625" style="45" customWidth="1"/>
    <col min="10755" max="10755" width="11.85546875" style="45" customWidth="1"/>
    <col min="10756" max="10756" width="9.42578125" style="45" customWidth="1"/>
    <col min="10757" max="10757" width="14.7109375" style="45" customWidth="1"/>
    <col min="10758" max="10758" width="11.5703125" style="45" customWidth="1"/>
    <col min="10759" max="10759" width="0.42578125" style="45" customWidth="1"/>
    <col min="10760" max="10760" width="10.5703125" style="45" bestFit="1" customWidth="1"/>
    <col min="10761" max="10761" width="12.28515625" style="45" customWidth="1"/>
    <col min="10762" max="10762" width="12.5703125" style="45" customWidth="1"/>
    <col min="10763" max="10763" width="10.5703125" style="45" customWidth="1"/>
    <col min="10764" max="10764" width="10.140625" style="45" customWidth="1"/>
    <col min="10765" max="10765" width="8.42578125" style="45" customWidth="1"/>
    <col min="10766" max="10766" width="18.85546875" style="45" customWidth="1"/>
    <col min="10767" max="10767" width="10.28515625" style="45" customWidth="1"/>
    <col min="10768" max="10768" width="11.42578125" style="45"/>
    <col min="10769" max="10769" width="12.140625" style="45" customWidth="1"/>
    <col min="10770" max="10770" width="10.5703125" style="45" customWidth="1"/>
    <col min="10771" max="10771" width="12.42578125" style="45" customWidth="1"/>
    <col min="10772" max="10772" width="15.140625" style="45" customWidth="1"/>
    <col min="10773" max="10773" width="13.5703125" style="45" customWidth="1"/>
    <col min="10774" max="10774" width="13.140625" style="45" customWidth="1"/>
    <col min="10775" max="10775" width="15.7109375" style="45" customWidth="1"/>
    <col min="10776" max="10776" width="37.5703125" style="45" customWidth="1"/>
    <col min="10777" max="10998" width="11.42578125" style="45"/>
    <col min="10999" max="10999" width="10.5703125" style="45" customWidth="1"/>
    <col min="11000" max="11000" width="4.85546875" style="45" customWidth="1"/>
    <col min="11001" max="11001" width="32.42578125" style="45" customWidth="1"/>
    <col min="11002" max="11002" width="9.85546875" style="45" customWidth="1"/>
    <col min="11003" max="11003" width="10.140625" style="45" customWidth="1"/>
    <col min="11004" max="11004" width="12.28515625" style="45" customWidth="1"/>
    <col min="11005" max="11005" width="15.42578125" style="45" customWidth="1"/>
    <col min="11006" max="11006" width="11.85546875" style="45" customWidth="1"/>
    <col min="11007" max="11007" width="13.28515625" style="45" customWidth="1"/>
    <col min="11008" max="11008" width="15.28515625" style="45" customWidth="1"/>
    <col min="11009" max="11009" width="11.85546875" style="45" customWidth="1"/>
    <col min="11010" max="11010" width="6.140625" style="45" customWidth="1"/>
    <col min="11011" max="11011" width="11.85546875" style="45" customWidth="1"/>
    <col min="11012" max="11012" width="9.42578125" style="45" customWidth="1"/>
    <col min="11013" max="11013" width="14.7109375" style="45" customWidth="1"/>
    <col min="11014" max="11014" width="11.5703125" style="45" customWidth="1"/>
    <col min="11015" max="11015" width="0.42578125" style="45" customWidth="1"/>
    <col min="11016" max="11016" width="10.5703125" style="45" bestFit="1" customWidth="1"/>
    <col min="11017" max="11017" width="12.28515625" style="45" customWidth="1"/>
    <col min="11018" max="11018" width="12.5703125" style="45" customWidth="1"/>
    <col min="11019" max="11019" width="10.5703125" style="45" customWidth="1"/>
    <col min="11020" max="11020" width="10.140625" style="45" customWidth="1"/>
    <col min="11021" max="11021" width="8.42578125" style="45" customWidth="1"/>
    <col min="11022" max="11022" width="18.85546875" style="45" customWidth="1"/>
    <col min="11023" max="11023" width="10.28515625" style="45" customWidth="1"/>
    <col min="11024" max="11024" width="11.42578125" style="45"/>
    <col min="11025" max="11025" width="12.140625" style="45" customWidth="1"/>
    <col min="11026" max="11026" width="10.5703125" style="45" customWidth="1"/>
    <col min="11027" max="11027" width="12.42578125" style="45" customWidth="1"/>
    <col min="11028" max="11028" width="15.140625" style="45" customWidth="1"/>
    <col min="11029" max="11029" width="13.5703125" style="45" customWidth="1"/>
    <col min="11030" max="11030" width="13.140625" style="45" customWidth="1"/>
    <col min="11031" max="11031" width="15.7109375" style="45" customWidth="1"/>
    <col min="11032" max="11032" width="37.5703125" style="45" customWidth="1"/>
    <col min="11033" max="11254" width="11.42578125" style="45"/>
    <col min="11255" max="11255" width="10.5703125" style="45" customWidth="1"/>
    <col min="11256" max="11256" width="4.85546875" style="45" customWidth="1"/>
    <col min="11257" max="11257" width="32.42578125" style="45" customWidth="1"/>
    <col min="11258" max="11258" width="9.85546875" style="45" customWidth="1"/>
    <col min="11259" max="11259" width="10.140625" style="45" customWidth="1"/>
    <col min="11260" max="11260" width="12.28515625" style="45" customWidth="1"/>
    <col min="11261" max="11261" width="15.42578125" style="45" customWidth="1"/>
    <col min="11262" max="11262" width="11.85546875" style="45" customWidth="1"/>
    <col min="11263" max="11263" width="13.28515625" style="45" customWidth="1"/>
    <col min="11264" max="11264" width="15.28515625" style="45" customWidth="1"/>
    <col min="11265" max="11265" width="11.85546875" style="45" customWidth="1"/>
    <col min="11266" max="11266" width="6.140625" style="45" customWidth="1"/>
    <col min="11267" max="11267" width="11.85546875" style="45" customWidth="1"/>
    <col min="11268" max="11268" width="9.42578125" style="45" customWidth="1"/>
    <col min="11269" max="11269" width="14.7109375" style="45" customWidth="1"/>
    <col min="11270" max="11270" width="11.5703125" style="45" customWidth="1"/>
    <col min="11271" max="11271" width="0.42578125" style="45" customWidth="1"/>
    <col min="11272" max="11272" width="10.5703125" style="45" bestFit="1" customWidth="1"/>
    <col min="11273" max="11273" width="12.28515625" style="45" customWidth="1"/>
    <col min="11274" max="11274" width="12.5703125" style="45" customWidth="1"/>
    <col min="11275" max="11275" width="10.5703125" style="45" customWidth="1"/>
    <col min="11276" max="11276" width="10.140625" style="45" customWidth="1"/>
    <col min="11277" max="11277" width="8.42578125" style="45" customWidth="1"/>
    <col min="11278" max="11278" width="18.85546875" style="45" customWidth="1"/>
    <col min="11279" max="11279" width="10.28515625" style="45" customWidth="1"/>
    <col min="11280" max="11280" width="11.42578125" style="45"/>
    <col min="11281" max="11281" width="12.140625" style="45" customWidth="1"/>
    <col min="11282" max="11282" width="10.5703125" style="45" customWidth="1"/>
    <col min="11283" max="11283" width="12.42578125" style="45" customWidth="1"/>
    <col min="11284" max="11284" width="15.140625" style="45" customWidth="1"/>
    <col min="11285" max="11285" width="13.5703125" style="45" customWidth="1"/>
    <col min="11286" max="11286" width="13.140625" style="45" customWidth="1"/>
    <col min="11287" max="11287" width="15.7109375" style="45" customWidth="1"/>
    <col min="11288" max="11288" width="37.5703125" style="45" customWidth="1"/>
    <col min="11289" max="11510" width="11.42578125" style="45"/>
    <col min="11511" max="11511" width="10.5703125" style="45" customWidth="1"/>
    <col min="11512" max="11512" width="4.85546875" style="45" customWidth="1"/>
    <col min="11513" max="11513" width="32.42578125" style="45" customWidth="1"/>
    <col min="11514" max="11514" width="9.85546875" style="45" customWidth="1"/>
    <col min="11515" max="11515" width="10.140625" style="45" customWidth="1"/>
    <col min="11516" max="11516" width="12.28515625" style="45" customWidth="1"/>
    <col min="11517" max="11517" width="15.42578125" style="45" customWidth="1"/>
    <col min="11518" max="11518" width="11.85546875" style="45" customWidth="1"/>
    <col min="11519" max="11519" width="13.28515625" style="45" customWidth="1"/>
    <col min="11520" max="11520" width="15.28515625" style="45" customWidth="1"/>
    <col min="11521" max="11521" width="11.85546875" style="45" customWidth="1"/>
    <col min="11522" max="11522" width="6.140625" style="45" customWidth="1"/>
    <col min="11523" max="11523" width="11.85546875" style="45" customWidth="1"/>
    <col min="11524" max="11524" width="9.42578125" style="45" customWidth="1"/>
    <col min="11525" max="11525" width="14.7109375" style="45" customWidth="1"/>
    <col min="11526" max="11526" width="11.5703125" style="45" customWidth="1"/>
    <col min="11527" max="11527" width="0.42578125" style="45" customWidth="1"/>
    <col min="11528" max="11528" width="10.5703125" style="45" bestFit="1" customWidth="1"/>
    <col min="11529" max="11529" width="12.28515625" style="45" customWidth="1"/>
    <col min="11530" max="11530" width="12.5703125" style="45" customWidth="1"/>
    <col min="11531" max="11531" width="10.5703125" style="45" customWidth="1"/>
    <col min="11532" max="11532" width="10.140625" style="45" customWidth="1"/>
    <col min="11533" max="11533" width="8.42578125" style="45" customWidth="1"/>
    <col min="11534" max="11534" width="18.85546875" style="45" customWidth="1"/>
    <col min="11535" max="11535" width="10.28515625" style="45" customWidth="1"/>
    <col min="11536" max="11536" width="11.42578125" style="45"/>
    <col min="11537" max="11537" width="12.140625" style="45" customWidth="1"/>
    <col min="11538" max="11538" width="10.5703125" style="45" customWidth="1"/>
    <col min="11539" max="11539" width="12.42578125" style="45" customWidth="1"/>
    <col min="11540" max="11540" width="15.140625" style="45" customWidth="1"/>
    <col min="11541" max="11541" width="13.5703125" style="45" customWidth="1"/>
    <col min="11542" max="11542" width="13.140625" style="45" customWidth="1"/>
    <col min="11543" max="11543" width="15.7109375" style="45" customWidth="1"/>
    <col min="11544" max="11544" width="37.5703125" style="45" customWidth="1"/>
    <col min="11545" max="11766" width="11.42578125" style="45"/>
    <col min="11767" max="11767" width="10.5703125" style="45" customWidth="1"/>
    <col min="11768" max="11768" width="4.85546875" style="45" customWidth="1"/>
    <col min="11769" max="11769" width="32.42578125" style="45" customWidth="1"/>
    <col min="11770" max="11770" width="9.85546875" style="45" customWidth="1"/>
    <col min="11771" max="11771" width="10.140625" style="45" customWidth="1"/>
    <col min="11772" max="11772" width="12.28515625" style="45" customWidth="1"/>
    <col min="11773" max="11773" width="15.42578125" style="45" customWidth="1"/>
    <col min="11774" max="11774" width="11.85546875" style="45" customWidth="1"/>
    <col min="11775" max="11775" width="13.28515625" style="45" customWidth="1"/>
    <col min="11776" max="11776" width="15.28515625" style="45" customWidth="1"/>
    <col min="11777" max="11777" width="11.85546875" style="45" customWidth="1"/>
    <col min="11778" max="11778" width="6.140625" style="45" customWidth="1"/>
    <col min="11779" max="11779" width="11.85546875" style="45" customWidth="1"/>
    <col min="11780" max="11780" width="9.42578125" style="45" customWidth="1"/>
    <col min="11781" max="11781" width="14.7109375" style="45" customWidth="1"/>
    <col min="11782" max="11782" width="11.5703125" style="45" customWidth="1"/>
    <col min="11783" max="11783" width="0.42578125" style="45" customWidth="1"/>
    <col min="11784" max="11784" width="10.5703125" style="45" bestFit="1" customWidth="1"/>
    <col min="11785" max="11785" width="12.28515625" style="45" customWidth="1"/>
    <col min="11786" max="11786" width="12.5703125" style="45" customWidth="1"/>
    <col min="11787" max="11787" width="10.5703125" style="45" customWidth="1"/>
    <col min="11788" max="11788" width="10.140625" style="45" customWidth="1"/>
    <col min="11789" max="11789" width="8.42578125" style="45" customWidth="1"/>
    <col min="11790" max="11790" width="18.85546875" style="45" customWidth="1"/>
    <col min="11791" max="11791" width="10.28515625" style="45" customWidth="1"/>
    <col min="11792" max="11792" width="11.42578125" style="45"/>
    <col min="11793" max="11793" width="12.140625" style="45" customWidth="1"/>
    <col min="11794" max="11794" width="10.5703125" style="45" customWidth="1"/>
    <col min="11795" max="11795" width="12.42578125" style="45" customWidth="1"/>
    <col min="11796" max="11796" width="15.140625" style="45" customWidth="1"/>
    <col min="11797" max="11797" width="13.5703125" style="45" customWidth="1"/>
    <col min="11798" max="11798" width="13.140625" style="45" customWidth="1"/>
    <col min="11799" max="11799" width="15.7109375" style="45" customWidth="1"/>
    <col min="11800" max="11800" width="37.5703125" style="45" customWidth="1"/>
    <col min="11801" max="12022" width="11.42578125" style="45"/>
    <col min="12023" max="12023" width="10.5703125" style="45" customWidth="1"/>
    <col min="12024" max="12024" width="4.85546875" style="45" customWidth="1"/>
    <col min="12025" max="12025" width="32.42578125" style="45" customWidth="1"/>
    <col min="12026" max="12026" width="9.85546875" style="45" customWidth="1"/>
    <col min="12027" max="12027" width="10.140625" style="45" customWidth="1"/>
    <col min="12028" max="12028" width="12.28515625" style="45" customWidth="1"/>
    <col min="12029" max="12029" width="15.42578125" style="45" customWidth="1"/>
    <col min="12030" max="12030" width="11.85546875" style="45" customWidth="1"/>
    <col min="12031" max="12031" width="13.28515625" style="45" customWidth="1"/>
    <col min="12032" max="12032" width="15.28515625" style="45" customWidth="1"/>
    <col min="12033" max="12033" width="11.85546875" style="45" customWidth="1"/>
    <col min="12034" max="12034" width="6.140625" style="45" customWidth="1"/>
    <col min="12035" max="12035" width="11.85546875" style="45" customWidth="1"/>
    <col min="12036" max="12036" width="9.42578125" style="45" customWidth="1"/>
    <col min="12037" max="12037" width="14.7109375" style="45" customWidth="1"/>
    <col min="12038" max="12038" width="11.5703125" style="45" customWidth="1"/>
    <col min="12039" max="12039" width="0.42578125" style="45" customWidth="1"/>
    <col min="12040" max="12040" width="10.5703125" style="45" bestFit="1" customWidth="1"/>
    <col min="12041" max="12041" width="12.28515625" style="45" customWidth="1"/>
    <col min="12042" max="12042" width="12.5703125" style="45" customWidth="1"/>
    <col min="12043" max="12043" width="10.5703125" style="45" customWidth="1"/>
    <col min="12044" max="12044" width="10.140625" style="45" customWidth="1"/>
    <col min="12045" max="12045" width="8.42578125" style="45" customWidth="1"/>
    <col min="12046" max="12046" width="18.85546875" style="45" customWidth="1"/>
    <col min="12047" max="12047" width="10.28515625" style="45" customWidth="1"/>
    <col min="12048" max="12048" width="11.42578125" style="45"/>
    <col min="12049" max="12049" width="12.140625" style="45" customWidth="1"/>
    <col min="12050" max="12050" width="10.5703125" style="45" customWidth="1"/>
    <col min="12051" max="12051" width="12.42578125" style="45" customWidth="1"/>
    <col min="12052" max="12052" width="15.140625" style="45" customWidth="1"/>
    <col min="12053" max="12053" width="13.5703125" style="45" customWidth="1"/>
    <col min="12054" max="12054" width="13.140625" style="45" customWidth="1"/>
    <col min="12055" max="12055" width="15.7109375" style="45" customWidth="1"/>
    <col min="12056" max="12056" width="37.5703125" style="45" customWidth="1"/>
    <col min="12057" max="12278" width="11.42578125" style="45"/>
    <col min="12279" max="12279" width="10.5703125" style="45" customWidth="1"/>
    <col min="12280" max="12280" width="4.85546875" style="45" customWidth="1"/>
    <col min="12281" max="12281" width="32.42578125" style="45" customWidth="1"/>
    <col min="12282" max="12282" width="9.85546875" style="45" customWidth="1"/>
    <col min="12283" max="12283" width="10.140625" style="45" customWidth="1"/>
    <col min="12284" max="12284" width="12.28515625" style="45" customWidth="1"/>
    <col min="12285" max="12285" width="15.42578125" style="45" customWidth="1"/>
    <col min="12286" max="12286" width="11.85546875" style="45" customWidth="1"/>
    <col min="12287" max="12287" width="13.28515625" style="45" customWidth="1"/>
    <col min="12288" max="12288" width="15.28515625" style="45" customWidth="1"/>
    <col min="12289" max="12289" width="11.85546875" style="45" customWidth="1"/>
    <col min="12290" max="12290" width="6.140625" style="45" customWidth="1"/>
    <col min="12291" max="12291" width="11.85546875" style="45" customWidth="1"/>
    <col min="12292" max="12292" width="9.42578125" style="45" customWidth="1"/>
    <col min="12293" max="12293" width="14.7109375" style="45" customWidth="1"/>
    <col min="12294" max="12294" width="11.5703125" style="45" customWidth="1"/>
    <col min="12295" max="12295" width="0.42578125" style="45" customWidth="1"/>
    <col min="12296" max="12296" width="10.5703125" style="45" bestFit="1" customWidth="1"/>
    <col min="12297" max="12297" width="12.28515625" style="45" customWidth="1"/>
    <col min="12298" max="12298" width="12.5703125" style="45" customWidth="1"/>
    <col min="12299" max="12299" width="10.5703125" style="45" customWidth="1"/>
    <col min="12300" max="12300" width="10.140625" style="45" customWidth="1"/>
    <col min="12301" max="12301" width="8.42578125" style="45" customWidth="1"/>
    <col min="12302" max="12302" width="18.85546875" style="45" customWidth="1"/>
    <col min="12303" max="12303" width="10.28515625" style="45" customWidth="1"/>
    <col min="12304" max="12304" width="11.42578125" style="45"/>
    <col min="12305" max="12305" width="12.140625" style="45" customWidth="1"/>
    <col min="12306" max="12306" width="10.5703125" style="45" customWidth="1"/>
    <col min="12307" max="12307" width="12.42578125" style="45" customWidth="1"/>
    <col min="12308" max="12308" width="15.140625" style="45" customWidth="1"/>
    <col min="12309" max="12309" width="13.5703125" style="45" customWidth="1"/>
    <col min="12310" max="12310" width="13.140625" style="45" customWidth="1"/>
    <col min="12311" max="12311" width="15.7109375" style="45" customWidth="1"/>
    <col min="12312" max="12312" width="37.5703125" style="45" customWidth="1"/>
    <col min="12313" max="12534" width="11.42578125" style="45"/>
    <col min="12535" max="12535" width="10.5703125" style="45" customWidth="1"/>
    <col min="12536" max="12536" width="4.85546875" style="45" customWidth="1"/>
    <col min="12537" max="12537" width="32.42578125" style="45" customWidth="1"/>
    <col min="12538" max="12538" width="9.85546875" style="45" customWidth="1"/>
    <col min="12539" max="12539" width="10.140625" style="45" customWidth="1"/>
    <col min="12540" max="12540" width="12.28515625" style="45" customWidth="1"/>
    <col min="12541" max="12541" width="15.42578125" style="45" customWidth="1"/>
    <col min="12542" max="12542" width="11.85546875" style="45" customWidth="1"/>
    <col min="12543" max="12543" width="13.28515625" style="45" customWidth="1"/>
    <col min="12544" max="12544" width="15.28515625" style="45" customWidth="1"/>
    <col min="12545" max="12545" width="11.85546875" style="45" customWidth="1"/>
    <col min="12546" max="12546" width="6.140625" style="45" customWidth="1"/>
    <col min="12547" max="12547" width="11.85546875" style="45" customWidth="1"/>
    <col min="12548" max="12548" width="9.42578125" style="45" customWidth="1"/>
    <col min="12549" max="12549" width="14.7109375" style="45" customWidth="1"/>
    <col min="12550" max="12550" width="11.5703125" style="45" customWidth="1"/>
    <col min="12551" max="12551" width="0.42578125" style="45" customWidth="1"/>
    <col min="12552" max="12552" width="10.5703125" style="45" bestFit="1" customWidth="1"/>
    <col min="12553" max="12553" width="12.28515625" style="45" customWidth="1"/>
    <col min="12554" max="12554" width="12.5703125" style="45" customWidth="1"/>
    <col min="12555" max="12555" width="10.5703125" style="45" customWidth="1"/>
    <col min="12556" max="12556" width="10.140625" style="45" customWidth="1"/>
    <col min="12557" max="12557" width="8.42578125" style="45" customWidth="1"/>
    <col min="12558" max="12558" width="18.85546875" style="45" customWidth="1"/>
    <col min="12559" max="12559" width="10.28515625" style="45" customWidth="1"/>
    <col min="12560" max="12560" width="11.42578125" style="45"/>
    <col min="12561" max="12561" width="12.140625" style="45" customWidth="1"/>
    <col min="12562" max="12562" width="10.5703125" style="45" customWidth="1"/>
    <col min="12563" max="12563" width="12.42578125" style="45" customWidth="1"/>
    <col min="12564" max="12564" width="15.140625" style="45" customWidth="1"/>
    <col min="12565" max="12565" width="13.5703125" style="45" customWidth="1"/>
    <col min="12566" max="12566" width="13.140625" style="45" customWidth="1"/>
    <col min="12567" max="12567" width="15.7109375" style="45" customWidth="1"/>
    <col min="12568" max="12568" width="37.5703125" style="45" customWidth="1"/>
    <col min="12569" max="12790" width="11.42578125" style="45"/>
    <col min="12791" max="12791" width="10.5703125" style="45" customWidth="1"/>
    <col min="12792" max="12792" width="4.85546875" style="45" customWidth="1"/>
    <col min="12793" max="12793" width="32.42578125" style="45" customWidth="1"/>
    <col min="12794" max="12794" width="9.85546875" style="45" customWidth="1"/>
    <col min="12795" max="12795" width="10.140625" style="45" customWidth="1"/>
    <col min="12796" max="12796" width="12.28515625" style="45" customWidth="1"/>
    <col min="12797" max="12797" width="15.42578125" style="45" customWidth="1"/>
    <col min="12798" max="12798" width="11.85546875" style="45" customWidth="1"/>
    <col min="12799" max="12799" width="13.28515625" style="45" customWidth="1"/>
    <col min="12800" max="12800" width="15.28515625" style="45" customWidth="1"/>
    <col min="12801" max="12801" width="11.85546875" style="45" customWidth="1"/>
    <col min="12802" max="12802" width="6.140625" style="45" customWidth="1"/>
    <col min="12803" max="12803" width="11.85546875" style="45" customWidth="1"/>
    <col min="12804" max="12804" width="9.42578125" style="45" customWidth="1"/>
    <col min="12805" max="12805" width="14.7109375" style="45" customWidth="1"/>
    <col min="12806" max="12806" width="11.5703125" style="45" customWidth="1"/>
    <col min="12807" max="12807" width="0.42578125" style="45" customWidth="1"/>
    <col min="12808" max="12808" width="10.5703125" style="45" bestFit="1" customWidth="1"/>
    <col min="12809" max="12809" width="12.28515625" style="45" customWidth="1"/>
    <col min="12810" max="12810" width="12.5703125" style="45" customWidth="1"/>
    <col min="12811" max="12811" width="10.5703125" style="45" customWidth="1"/>
    <col min="12812" max="12812" width="10.140625" style="45" customWidth="1"/>
    <col min="12813" max="12813" width="8.42578125" style="45" customWidth="1"/>
    <col min="12814" max="12814" width="18.85546875" style="45" customWidth="1"/>
    <col min="12815" max="12815" width="10.28515625" style="45" customWidth="1"/>
    <col min="12816" max="12816" width="11.42578125" style="45"/>
    <col min="12817" max="12817" width="12.140625" style="45" customWidth="1"/>
    <col min="12818" max="12818" width="10.5703125" style="45" customWidth="1"/>
    <col min="12819" max="12819" width="12.42578125" style="45" customWidth="1"/>
    <col min="12820" max="12820" width="15.140625" style="45" customWidth="1"/>
    <col min="12821" max="12821" width="13.5703125" style="45" customWidth="1"/>
    <col min="12822" max="12822" width="13.140625" style="45" customWidth="1"/>
    <col min="12823" max="12823" width="15.7109375" style="45" customWidth="1"/>
    <col min="12824" max="12824" width="37.5703125" style="45" customWidth="1"/>
    <col min="12825" max="13046" width="11.42578125" style="45"/>
    <col min="13047" max="13047" width="10.5703125" style="45" customWidth="1"/>
    <col min="13048" max="13048" width="4.85546875" style="45" customWidth="1"/>
    <col min="13049" max="13049" width="32.42578125" style="45" customWidth="1"/>
    <col min="13050" max="13050" width="9.85546875" style="45" customWidth="1"/>
    <col min="13051" max="13051" width="10.140625" style="45" customWidth="1"/>
    <col min="13052" max="13052" width="12.28515625" style="45" customWidth="1"/>
    <col min="13053" max="13053" width="15.42578125" style="45" customWidth="1"/>
    <col min="13054" max="13054" width="11.85546875" style="45" customWidth="1"/>
    <col min="13055" max="13055" width="13.28515625" style="45" customWidth="1"/>
    <col min="13056" max="13056" width="15.28515625" style="45" customWidth="1"/>
    <col min="13057" max="13057" width="11.85546875" style="45" customWidth="1"/>
    <col min="13058" max="13058" width="6.140625" style="45" customWidth="1"/>
    <col min="13059" max="13059" width="11.85546875" style="45" customWidth="1"/>
    <col min="13060" max="13060" width="9.42578125" style="45" customWidth="1"/>
    <col min="13061" max="13061" width="14.7109375" style="45" customWidth="1"/>
    <col min="13062" max="13062" width="11.5703125" style="45" customWidth="1"/>
    <col min="13063" max="13063" width="0.42578125" style="45" customWidth="1"/>
    <col min="13064" max="13064" width="10.5703125" style="45" bestFit="1" customWidth="1"/>
    <col min="13065" max="13065" width="12.28515625" style="45" customWidth="1"/>
    <col min="13066" max="13066" width="12.5703125" style="45" customWidth="1"/>
    <col min="13067" max="13067" width="10.5703125" style="45" customWidth="1"/>
    <col min="13068" max="13068" width="10.140625" style="45" customWidth="1"/>
    <col min="13069" max="13069" width="8.42578125" style="45" customWidth="1"/>
    <col min="13070" max="13070" width="18.85546875" style="45" customWidth="1"/>
    <col min="13071" max="13071" width="10.28515625" style="45" customWidth="1"/>
    <col min="13072" max="13072" width="11.42578125" style="45"/>
    <col min="13073" max="13073" width="12.140625" style="45" customWidth="1"/>
    <col min="13074" max="13074" width="10.5703125" style="45" customWidth="1"/>
    <col min="13075" max="13075" width="12.42578125" style="45" customWidth="1"/>
    <col min="13076" max="13076" width="15.140625" style="45" customWidth="1"/>
    <col min="13077" max="13077" width="13.5703125" style="45" customWidth="1"/>
    <col min="13078" max="13078" width="13.140625" style="45" customWidth="1"/>
    <col min="13079" max="13079" width="15.7109375" style="45" customWidth="1"/>
    <col min="13080" max="13080" width="37.5703125" style="45" customWidth="1"/>
    <col min="13081" max="13302" width="11.42578125" style="45"/>
    <col min="13303" max="13303" width="10.5703125" style="45" customWidth="1"/>
    <col min="13304" max="13304" width="4.85546875" style="45" customWidth="1"/>
    <col min="13305" max="13305" width="32.42578125" style="45" customWidth="1"/>
    <col min="13306" max="13306" width="9.85546875" style="45" customWidth="1"/>
    <col min="13307" max="13307" width="10.140625" style="45" customWidth="1"/>
    <col min="13308" max="13308" width="12.28515625" style="45" customWidth="1"/>
    <col min="13309" max="13309" width="15.42578125" style="45" customWidth="1"/>
    <col min="13310" max="13310" width="11.85546875" style="45" customWidth="1"/>
    <col min="13311" max="13311" width="13.28515625" style="45" customWidth="1"/>
    <col min="13312" max="13312" width="15.28515625" style="45" customWidth="1"/>
    <col min="13313" max="13313" width="11.85546875" style="45" customWidth="1"/>
    <col min="13314" max="13314" width="6.140625" style="45" customWidth="1"/>
    <col min="13315" max="13315" width="11.85546875" style="45" customWidth="1"/>
    <col min="13316" max="13316" width="9.42578125" style="45" customWidth="1"/>
    <col min="13317" max="13317" width="14.7109375" style="45" customWidth="1"/>
    <col min="13318" max="13318" width="11.5703125" style="45" customWidth="1"/>
    <col min="13319" max="13319" width="0.42578125" style="45" customWidth="1"/>
    <col min="13320" max="13320" width="10.5703125" style="45" bestFit="1" customWidth="1"/>
    <col min="13321" max="13321" width="12.28515625" style="45" customWidth="1"/>
    <col min="13322" max="13322" width="12.5703125" style="45" customWidth="1"/>
    <col min="13323" max="13323" width="10.5703125" style="45" customWidth="1"/>
    <col min="13324" max="13324" width="10.140625" style="45" customWidth="1"/>
    <col min="13325" max="13325" width="8.42578125" style="45" customWidth="1"/>
    <col min="13326" max="13326" width="18.85546875" style="45" customWidth="1"/>
    <col min="13327" max="13327" width="10.28515625" style="45" customWidth="1"/>
    <col min="13328" max="13328" width="11.42578125" style="45"/>
    <col min="13329" max="13329" width="12.140625" style="45" customWidth="1"/>
    <col min="13330" max="13330" width="10.5703125" style="45" customWidth="1"/>
    <col min="13331" max="13331" width="12.42578125" style="45" customWidth="1"/>
    <col min="13332" max="13332" width="15.140625" style="45" customWidth="1"/>
    <col min="13333" max="13333" width="13.5703125" style="45" customWidth="1"/>
    <col min="13334" max="13334" width="13.140625" style="45" customWidth="1"/>
    <col min="13335" max="13335" width="15.7109375" style="45" customWidth="1"/>
    <col min="13336" max="13336" width="37.5703125" style="45" customWidth="1"/>
    <col min="13337" max="13558" width="11.42578125" style="45"/>
    <col min="13559" max="13559" width="10.5703125" style="45" customWidth="1"/>
    <col min="13560" max="13560" width="4.85546875" style="45" customWidth="1"/>
    <col min="13561" max="13561" width="32.42578125" style="45" customWidth="1"/>
    <col min="13562" max="13562" width="9.85546875" style="45" customWidth="1"/>
    <col min="13563" max="13563" width="10.140625" style="45" customWidth="1"/>
    <col min="13564" max="13564" width="12.28515625" style="45" customWidth="1"/>
    <col min="13565" max="13565" width="15.42578125" style="45" customWidth="1"/>
    <col min="13566" max="13566" width="11.85546875" style="45" customWidth="1"/>
    <col min="13567" max="13567" width="13.28515625" style="45" customWidth="1"/>
    <col min="13568" max="13568" width="15.28515625" style="45" customWidth="1"/>
    <col min="13569" max="13569" width="11.85546875" style="45" customWidth="1"/>
    <col min="13570" max="13570" width="6.140625" style="45" customWidth="1"/>
    <col min="13571" max="13571" width="11.85546875" style="45" customWidth="1"/>
    <col min="13572" max="13572" width="9.42578125" style="45" customWidth="1"/>
    <col min="13573" max="13573" width="14.7109375" style="45" customWidth="1"/>
    <col min="13574" max="13574" width="11.5703125" style="45" customWidth="1"/>
    <col min="13575" max="13575" width="0.42578125" style="45" customWidth="1"/>
    <col min="13576" max="13576" width="10.5703125" style="45" bestFit="1" customWidth="1"/>
    <col min="13577" max="13577" width="12.28515625" style="45" customWidth="1"/>
    <col min="13578" max="13578" width="12.5703125" style="45" customWidth="1"/>
    <col min="13579" max="13579" width="10.5703125" style="45" customWidth="1"/>
    <col min="13580" max="13580" width="10.140625" style="45" customWidth="1"/>
    <col min="13581" max="13581" width="8.42578125" style="45" customWidth="1"/>
    <col min="13582" max="13582" width="18.85546875" style="45" customWidth="1"/>
    <col min="13583" max="13583" width="10.28515625" style="45" customWidth="1"/>
    <col min="13584" max="13584" width="11.42578125" style="45"/>
    <col min="13585" max="13585" width="12.140625" style="45" customWidth="1"/>
    <col min="13586" max="13586" width="10.5703125" style="45" customWidth="1"/>
    <col min="13587" max="13587" width="12.42578125" style="45" customWidth="1"/>
    <col min="13588" max="13588" width="15.140625" style="45" customWidth="1"/>
    <col min="13589" max="13589" width="13.5703125" style="45" customWidth="1"/>
    <col min="13590" max="13590" width="13.140625" style="45" customWidth="1"/>
    <col min="13591" max="13591" width="15.7109375" style="45" customWidth="1"/>
    <col min="13592" max="13592" width="37.5703125" style="45" customWidth="1"/>
    <col min="13593" max="13814" width="11.42578125" style="45"/>
    <col min="13815" max="13815" width="10.5703125" style="45" customWidth="1"/>
    <col min="13816" max="13816" width="4.85546875" style="45" customWidth="1"/>
    <col min="13817" max="13817" width="32.42578125" style="45" customWidth="1"/>
    <col min="13818" max="13818" width="9.85546875" style="45" customWidth="1"/>
    <col min="13819" max="13819" width="10.140625" style="45" customWidth="1"/>
    <col min="13820" max="13820" width="12.28515625" style="45" customWidth="1"/>
    <col min="13821" max="13821" width="15.42578125" style="45" customWidth="1"/>
    <col min="13822" max="13822" width="11.85546875" style="45" customWidth="1"/>
    <col min="13823" max="13823" width="13.28515625" style="45" customWidth="1"/>
    <col min="13824" max="13824" width="15.28515625" style="45" customWidth="1"/>
    <col min="13825" max="13825" width="11.85546875" style="45" customWidth="1"/>
    <col min="13826" max="13826" width="6.140625" style="45" customWidth="1"/>
    <col min="13827" max="13827" width="11.85546875" style="45" customWidth="1"/>
    <col min="13828" max="13828" width="9.42578125" style="45" customWidth="1"/>
    <col min="13829" max="13829" width="14.7109375" style="45" customWidth="1"/>
    <col min="13830" max="13830" width="11.5703125" style="45" customWidth="1"/>
    <col min="13831" max="13831" width="0.42578125" style="45" customWidth="1"/>
    <col min="13832" max="13832" width="10.5703125" style="45" bestFit="1" customWidth="1"/>
    <col min="13833" max="13833" width="12.28515625" style="45" customWidth="1"/>
    <col min="13834" max="13834" width="12.5703125" style="45" customWidth="1"/>
    <col min="13835" max="13835" width="10.5703125" style="45" customWidth="1"/>
    <col min="13836" max="13836" width="10.140625" style="45" customWidth="1"/>
    <col min="13837" max="13837" width="8.42578125" style="45" customWidth="1"/>
    <col min="13838" max="13838" width="18.85546875" style="45" customWidth="1"/>
    <col min="13839" max="13839" width="10.28515625" style="45" customWidth="1"/>
    <col min="13840" max="13840" width="11.42578125" style="45"/>
    <col min="13841" max="13841" width="12.140625" style="45" customWidth="1"/>
    <col min="13842" max="13842" width="10.5703125" style="45" customWidth="1"/>
    <col min="13843" max="13843" width="12.42578125" style="45" customWidth="1"/>
    <col min="13844" max="13844" width="15.140625" style="45" customWidth="1"/>
    <col min="13845" max="13845" width="13.5703125" style="45" customWidth="1"/>
    <col min="13846" max="13846" width="13.140625" style="45" customWidth="1"/>
    <col min="13847" max="13847" width="15.7109375" style="45" customWidth="1"/>
    <col min="13848" max="13848" width="37.5703125" style="45" customWidth="1"/>
    <col min="13849" max="14070" width="11.42578125" style="45"/>
    <col min="14071" max="14071" width="10.5703125" style="45" customWidth="1"/>
    <col min="14072" max="14072" width="4.85546875" style="45" customWidth="1"/>
    <col min="14073" max="14073" width="32.42578125" style="45" customWidth="1"/>
    <col min="14074" max="14074" width="9.85546875" style="45" customWidth="1"/>
    <col min="14075" max="14075" width="10.140625" style="45" customWidth="1"/>
    <col min="14076" max="14076" width="12.28515625" style="45" customWidth="1"/>
    <col min="14077" max="14077" width="15.42578125" style="45" customWidth="1"/>
    <col min="14078" max="14078" width="11.85546875" style="45" customWidth="1"/>
    <col min="14079" max="14079" width="13.28515625" style="45" customWidth="1"/>
    <col min="14080" max="14080" width="15.28515625" style="45" customWidth="1"/>
    <col min="14081" max="14081" width="11.85546875" style="45" customWidth="1"/>
    <col min="14082" max="14082" width="6.140625" style="45" customWidth="1"/>
    <col min="14083" max="14083" width="11.85546875" style="45" customWidth="1"/>
    <col min="14084" max="14084" width="9.42578125" style="45" customWidth="1"/>
    <col min="14085" max="14085" width="14.7109375" style="45" customWidth="1"/>
    <col min="14086" max="14086" width="11.5703125" style="45" customWidth="1"/>
    <col min="14087" max="14087" width="0.42578125" style="45" customWidth="1"/>
    <col min="14088" max="14088" width="10.5703125" style="45" bestFit="1" customWidth="1"/>
    <col min="14089" max="14089" width="12.28515625" style="45" customWidth="1"/>
    <col min="14090" max="14090" width="12.5703125" style="45" customWidth="1"/>
    <col min="14091" max="14091" width="10.5703125" style="45" customWidth="1"/>
    <col min="14092" max="14092" width="10.140625" style="45" customWidth="1"/>
    <col min="14093" max="14093" width="8.42578125" style="45" customWidth="1"/>
    <col min="14094" max="14094" width="18.85546875" style="45" customWidth="1"/>
    <col min="14095" max="14095" width="10.28515625" style="45" customWidth="1"/>
    <col min="14096" max="14096" width="11.42578125" style="45"/>
    <col min="14097" max="14097" width="12.140625" style="45" customWidth="1"/>
    <col min="14098" max="14098" width="10.5703125" style="45" customWidth="1"/>
    <col min="14099" max="14099" width="12.42578125" style="45" customWidth="1"/>
    <col min="14100" max="14100" width="15.140625" style="45" customWidth="1"/>
    <col min="14101" max="14101" width="13.5703125" style="45" customWidth="1"/>
    <col min="14102" max="14102" width="13.140625" style="45" customWidth="1"/>
    <col min="14103" max="14103" width="15.7109375" style="45" customWidth="1"/>
    <col min="14104" max="14104" width="37.5703125" style="45" customWidth="1"/>
    <col min="14105" max="14326" width="11.42578125" style="45"/>
    <col min="14327" max="14327" width="10.5703125" style="45" customWidth="1"/>
    <col min="14328" max="14328" width="4.85546875" style="45" customWidth="1"/>
    <col min="14329" max="14329" width="32.42578125" style="45" customWidth="1"/>
    <col min="14330" max="14330" width="9.85546875" style="45" customWidth="1"/>
    <col min="14331" max="14331" width="10.140625" style="45" customWidth="1"/>
    <col min="14332" max="14332" width="12.28515625" style="45" customWidth="1"/>
    <col min="14333" max="14333" width="15.42578125" style="45" customWidth="1"/>
    <col min="14334" max="14334" width="11.85546875" style="45" customWidth="1"/>
    <col min="14335" max="14335" width="13.28515625" style="45" customWidth="1"/>
    <col min="14336" max="14336" width="15.28515625" style="45" customWidth="1"/>
    <col min="14337" max="14337" width="11.85546875" style="45" customWidth="1"/>
    <col min="14338" max="14338" width="6.140625" style="45" customWidth="1"/>
    <col min="14339" max="14339" width="11.85546875" style="45" customWidth="1"/>
    <col min="14340" max="14340" width="9.42578125" style="45" customWidth="1"/>
    <col min="14341" max="14341" width="14.7109375" style="45" customWidth="1"/>
    <col min="14342" max="14342" width="11.5703125" style="45" customWidth="1"/>
    <col min="14343" max="14343" width="0.42578125" style="45" customWidth="1"/>
    <col min="14344" max="14344" width="10.5703125" style="45" bestFit="1" customWidth="1"/>
    <col min="14345" max="14345" width="12.28515625" style="45" customWidth="1"/>
    <col min="14346" max="14346" width="12.5703125" style="45" customWidth="1"/>
    <col min="14347" max="14347" width="10.5703125" style="45" customWidth="1"/>
    <col min="14348" max="14348" width="10.140625" style="45" customWidth="1"/>
    <col min="14349" max="14349" width="8.42578125" style="45" customWidth="1"/>
    <col min="14350" max="14350" width="18.85546875" style="45" customWidth="1"/>
    <col min="14351" max="14351" width="10.28515625" style="45" customWidth="1"/>
    <col min="14352" max="14352" width="11.42578125" style="45"/>
    <col min="14353" max="14353" width="12.140625" style="45" customWidth="1"/>
    <col min="14354" max="14354" width="10.5703125" style="45" customWidth="1"/>
    <col min="14355" max="14355" width="12.42578125" style="45" customWidth="1"/>
    <col min="14356" max="14356" width="15.140625" style="45" customWidth="1"/>
    <col min="14357" max="14357" width="13.5703125" style="45" customWidth="1"/>
    <col min="14358" max="14358" width="13.140625" style="45" customWidth="1"/>
    <col min="14359" max="14359" width="15.7109375" style="45" customWidth="1"/>
    <col min="14360" max="14360" width="37.5703125" style="45" customWidth="1"/>
    <col min="14361" max="14582" width="11.42578125" style="45"/>
    <col min="14583" max="14583" width="10.5703125" style="45" customWidth="1"/>
    <col min="14584" max="14584" width="4.85546875" style="45" customWidth="1"/>
    <col min="14585" max="14585" width="32.42578125" style="45" customWidth="1"/>
    <col min="14586" max="14586" width="9.85546875" style="45" customWidth="1"/>
    <col min="14587" max="14587" width="10.140625" style="45" customWidth="1"/>
    <col min="14588" max="14588" width="12.28515625" style="45" customWidth="1"/>
    <col min="14589" max="14589" width="15.42578125" style="45" customWidth="1"/>
    <col min="14590" max="14590" width="11.85546875" style="45" customWidth="1"/>
    <col min="14591" max="14591" width="13.28515625" style="45" customWidth="1"/>
    <col min="14592" max="14592" width="15.28515625" style="45" customWidth="1"/>
    <col min="14593" max="14593" width="11.85546875" style="45" customWidth="1"/>
    <col min="14594" max="14594" width="6.140625" style="45" customWidth="1"/>
    <col min="14595" max="14595" width="11.85546875" style="45" customWidth="1"/>
    <col min="14596" max="14596" width="9.42578125" style="45" customWidth="1"/>
    <col min="14597" max="14597" width="14.7109375" style="45" customWidth="1"/>
    <col min="14598" max="14598" width="11.5703125" style="45" customWidth="1"/>
    <col min="14599" max="14599" width="0.42578125" style="45" customWidth="1"/>
    <col min="14600" max="14600" width="10.5703125" style="45" bestFit="1" customWidth="1"/>
    <col min="14601" max="14601" width="12.28515625" style="45" customWidth="1"/>
    <col min="14602" max="14602" width="12.5703125" style="45" customWidth="1"/>
    <col min="14603" max="14603" width="10.5703125" style="45" customWidth="1"/>
    <col min="14604" max="14604" width="10.140625" style="45" customWidth="1"/>
    <col min="14605" max="14605" width="8.42578125" style="45" customWidth="1"/>
    <col min="14606" max="14606" width="18.85546875" style="45" customWidth="1"/>
    <col min="14607" max="14607" width="10.28515625" style="45" customWidth="1"/>
    <col min="14608" max="14608" width="11.42578125" style="45"/>
    <col min="14609" max="14609" width="12.140625" style="45" customWidth="1"/>
    <col min="14610" max="14610" width="10.5703125" style="45" customWidth="1"/>
    <col min="14611" max="14611" width="12.42578125" style="45" customWidth="1"/>
    <col min="14612" max="14612" width="15.140625" style="45" customWidth="1"/>
    <col min="14613" max="14613" width="13.5703125" style="45" customWidth="1"/>
    <col min="14614" max="14614" width="13.140625" style="45" customWidth="1"/>
    <col min="14615" max="14615" width="15.7109375" style="45" customWidth="1"/>
    <col min="14616" max="14616" width="37.5703125" style="45" customWidth="1"/>
    <col min="14617" max="14838" width="11.42578125" style="45"/>
    <col min="14839" max="14839" width="10.5703125" style="45" customWidth="1"/>
    <col min="14840" max="14840" width="4.85546875" style="45" customWidth="1"/>
    <col min="14841" max="14841" width="32.42578125" style="45" customWidth="1"/>
    <col min="14842" max="14842" width="9.85546875" style="45" customWidth="1"/>
    <col min="14843" max="14843" width="10.140625" style="45" customWidth="1"/>
    <col min="14844" max="14844" width="12.28515625" style="45" customWidth="1"/>
    <col min="14845" max="14845" width="15.42578125" style="45" customWidth="1"/>
    <col min="14846" max="14846" width="11.85546875" style="45" customWidth="1"/>
    <col min="14847" max="14847" width="13.28515625" style="45" customWidth="1"/>
    <col min="14848" max="14848" width="15.28515625" style="45" customWidth="1"/>
    <col min="14849" max="14849" width="11.85546875" style="45" customWidth="1"/>
    <col min="14850" max="14850" width="6.140625" style="45" customWidth="1"/>
    <col min="14851" max="14851" width="11.85546875" style="45" customWidth="1"/>
    <col min="14852" max="14852" width="9.42578125" style="45" customWidth="1"/>
    <col min="14853" max="14853" width="14.7109375" style="45" customWidth="1"/>
    <col min="14854" max="14854" width="11.5703125" style="45" customWidth="1"/>
    <col min="14855" max="14855" width="0.42578125" style="45" customWidth="1"/>
    <col min="14856" max="14856" width="10.5703125" style="45" bestFit="1" customWidth="1"/>
    <col min="14857" max="14857" width="12.28515625" style="45" customWidth="1"/>
    <col min="14858" max="14858" width="12.5703125" style="45" customWidth="1"/>
    <col min="14859" max="14859" width="10.5703125" style="45" customWidth="1"/>
    <col min="14860" max="14860" width="10.140625" style="45" customWidth="1"/>
    <col min="14861" max="14861" width="8.42578125" style="45" customWidth="1"/>
    <col min="14862" max="14862" width="18.85546875" style="45" customWidth="1"/>
    <col min="14863" max="14863" width="10.28515625" style="45" customWidth="1"/>
    <col min="14864" max="14864" width="11.42578125" style="45"/>
    <col min="14865" max="14865" width="12.140625" style="45" customWidth="1"/>
    <col min="14866" max="14866" width="10.5703125" style="45" customWidth="1"/>
    <col min="14867" max="14867" width="12.42578125" style="45" customWidth="1"/>
    <col min="14868" max="14868" width="15.140625" style="45" customWidth="1"/>
    <col min="14869" max="14869" width="13.5703125" style="45" customWidth="1"/>
    <col min="14870" max="14870" width="13.140625" style="45" customWidth="1"/>
    <col min="14871" max="14871" width="15.7109375" style="45" customWidth="1"/>
    <col min="14872" max="14872" width="37.5703125" style="45" customWidth="1"/>
    <col min="14873" max="15094" width="11.42578125" style="45"/>
    <col min="15095" max="15095" width="10.5703125" style="45" customWidth="1"/>
    <col min="15096" max="15096" width="4.85546875" style="45" customWidth="1"/>
    <col min="15097" max="15097" width="32.42578125" style="45" customWidth="1"/>
    <col min="15098" max="15098" width="9.85546875" style="45" customWidth="1"/>
    <col min="15099" max="15099" width="10.140625" style="45" customWidth="1"/>
    <col min="15100" max="15100" width="12.28515625" style="45" customWidth="1"/>
    <col min="15101" max="15101" width="15.42578125" style="45" customWidth="1"/>
    <col min="15102" max="15102" width="11.85546875" style="45" customWidth="1"/>
    <col min="15103" max="15103" width="13.28515625" style="45" customWidth="1"/>
    <col min="15104" max="15104" width="15.28515625" style="45" customWidth="1"/>
    <col min="15105" max="15105" width="11.85546875" style="45" customWidth="1"/>
    <col min="15106" max="15106" width="6.140625" style="45" customWidth="1"/>
    <col min="15107" max="15107" width="11.85546875" style="45" customWidth="1"/>
    <col min="15108" max="15108" width="9.42578125" style="45" customWidth="1"/>
    <col min="15109" max="15109" width="14.7109375" style="45" customWidth="1"/>
    <col min="15110" max="15110" width="11.5703125" style="45" customWidth="1"/>
    <col min="15111" max="15111" width="0.42578125" style="45" customWidth="1"/>
    <col min="15112" max="15112" width="10.5703125" style="45" bestFit="1" customWidth="1"/>
    <col min="15113" max="15113" width="12.28515625" style="45" customWidth="1"/>
    <col min="15114" max="15114" width="12.5703125" style="45" customWidth="1"/>
    <col min="15115" max="15115" width="10.5703125" style="45" customWidth="1"/>
    <col min="15116" max="15116" width="10.140625" style="45" customWidth="1"/>
    <col min="15117" max="15117" width="8.42578125" style="45" customWidth="1"/>
    <col min="15118" max="15118" width="18.85546875" style="45" customWidth="1"/>
    <col min="15119" max="15119" width="10.28515625" style="45" customWidth="1"/>
    <col min="15120" max="15120" width="11.42578125" style="45"/>
    <col min="15121" max="15121" width="12.140625" style="45" customWidth="1"/>
    <col min="15122" max="15122" width="10.5703125" style="45" customWidth="1"/>
    <col min="15123" max="15123" width="12.42578125" style="45" customWidth="1"/>
    <col min="15124" max="15124" width="15.140625" style="45" customWidth="1"/>
    <col min="15125" max="15125" width="13.5703125" style="45" customWidth="1"/>
    <col min="15126" max="15126" width="13.140625" style="45" customWidth="1"/>
    <col min="15127" max="15127" width="15.7109375" style="45" customWidth="1"/>
    <col min="15128" max="15128" width="37.5703125" style="45" customWidth="1"/>
    <col min="15129" max="15350" width="11.42578125" style="45"/>
    <col min="15351" max="15351" width="10.5703125" style="45" customWidth="1"/>
    <col min="15352" max="15352" width="4.85546875" style="45" customWidth="1"/>
    <col min="15353" max="15353" width="32.42578125" style="45" customWidth="1"/>
    <col min="15354" max="15354" width="9.85546875" style="45" customWidth="1"/>
    <col min="15355" max="15355" width="10.140625" style="45" customWidth="1"/>
    <col min="15356" max="15356" width="12.28515625" style="45" customWidth="1"/>
    <col min="15357" max="15357" width="15.42578125" style="45" customWidth="1"/>
    <col min="15358" max="15358" width="11.85546875" style="45" customWidth="1"/>
    <col min="15359" max="15359" width="13.28515625" style="45" customWidth="1"/>
    <col min="15360" max="15360" width="15.28515625" style="45" customWidth="1"/>
    <col min="15361" max="15361" width="11.85546875" style="45" customWidth="1"/>
    <col min="15362" max="15362" width="6.140625" style="45" customWidth="1"/>
    <col min="15363" max="15363" width="11.85546875" style="45" customWidth="1"/>
    <col min="15364" max="15364" width="9.42578125" style="45" customWidth="1"/>
    <col min="15365" max="15365" width="14.7109375" style="45" customWidth="1"/>
    <col min="15366" max="15366" width="11.5703125" style="45" customWidth="1"/>
    <col min="15367" max="15367" width="0.42578125" style="45" customWidth="1"/>
    <col min="15368" max="15368" width="10.5703125" style="45" bestFit="1" customWidth="1"/>
    <col min="15369" max="15369" width="12.28515625" style="45" customWidth="1"/>
    <col min="15370" max="15370" width="12.5703125" style="45" customWidth="1"/>
    <col min="15371" max="15371" width="10.5703125" style="45" customWidth="1"/>
    <col min="15372" max="15372" width="10.140625" style="45" customWidth="1"/>
    <col min="15373" max="15373" width="8.42578125" style="45" customWidth="1"/>
    <col min="15374" max="15374" width="18.85546875" style="45" customWidth="1"/>
    <col min="15375" max="15375" width="10.28515625" style="45" customWidth="1"/>
    <col min="15376" max="15376" width="11.42578125" style="45"/>
    <col min="15377" max="15377" width="12.140625" style="45" customWidth="1"/>
    <col min="15378" max="15378" width="10.5703125" style="45" customWidth="1"/>
    <col min="15379" max="15379" width="12.42578125" style="45" customWidth="1"/>
    <col min="15380" max="15380" width="15.140625" style="45" customWidth="1"/>
    <col min="15381" max="15381" width="13.5703125" style="45" customWidth="1"/>
    <col min="15382" max="15382" width="13.140625" style="45" customWidth="1"/>
    <col min="15383" max="15383" width="15.7109375" style="45" customWidth="1"/>
    <col min="15384" max="15384" width="37.5703125" style="45" customWidth="1"/>
    <col min="15385" max="15606" width="11.42578125" style="45"/>
    <col min="15607" max="15607" width="10.5703125" style="45" customWidth="1"/>
    <col min="15608" max="15608" width="4.85546875" style="45" customWidth="1"/>
    <col min="15609" max="15609" width="32.42578125" style="45" customWidth="1"/>
    <col min="15610" max="15610" width="9.85546875" style="45" customWidth="1"/>
    <col min="15611" max="15611" width="10.140625" style="45" customWidth="1"/>
    <col min="15612" max="15612" width="12.28515625" style="45" customWidth="1"/>
    <col min="15613" max="15613" width="15.42578125" style="45" customWidth="1"/>
    <col min="15614" max="15614" width="11.85546875" style="45" customWidth="1"/>
    <col min="15615" max="15615" width="13.28515625" style="45" customWidth="1"/>
    <col min="15616" max="15616" width="15.28515625" style="45" customWidth="1"/>
    <col min="15617" max="15617" width="11.85546875" style="45" customWidth="1"/>
    <col min="15618" max="15618" width="6.140625" style="45" customWidth="1"/>
    <col min="15619" max="15619" width="11.85546875" style="45" customWidth="1"/>
    <col min="15620" max="15620" width="9.42578125" style="45" customWidth="1"/>
    <col min="15621" max="15621" width="14.7109375" style="45" customWidth="1"/>
    <col min="15622" max="15622" width="11.5703125" style="45" customWidth="1"/>
    <col min="15623" max="15623" width="0.42578125" style="45" customWidth="1"/>
    <col min="15624" max="15624" width="10.5703125" style="45" bestFit="1" customWidth="1"/>
    <col min="15625" max="15625" width="12.28515625" style="45" customWidth="1"/>
    <col min="15626" max="15626" width="12.5703125" style="45" customWidth="1"/>
    <col min="15627" max="15627" width="10.5703125" style="45" customWidth="1"/>
    <col min="15628" max="15628" width="10.140625" style="45" customWidth="1"/>
    <col min="15629" max="15629" width="8.42578125" style="45" customWidth="1"/>
    <col min="15630" max="15630" width="18.85546875" style="45" customWidth="1"/>
    <col min="15631" max="15631" width="10.28515625" style="45" customWidth="1"/>
    <col min="15632" max="15632" width="11.42578125" style="45"/>
    <col min="15633" max="15633" width="12.140625" style="45" customWidth="1"/>
    <col min="15634" max="15634" width="10.5703125" style="45" customWidth="1"/>
    <col min="15635" max="15635" width="12.42578125" style="45" customWidth="1"/>
    <col min="15636" max="15636" width="15.140625" style="45" customWidth="1"/>
    <col min="15637" max="15637" width="13.5703125" style="45" customWidth="1"/>
    <col min="15638" max="15638" width="13.140625" style="45" customWidth="1"/>
    <col min="15639" max="15639" width="15.7109375" style="45" customWidth="1"/>
    <col min="15640" max="15640" width="37.5703125" style="45" customWidth="1"/>
    <col min="15641" max="15862" width="11.42578125" style="45"/>
    <col min="15863" max="15863" width="10.5703125" style="45" customWidth="1"/>
    <col min="15864" max="15864" width="4.85546875" style="45" customWidth="1"/>
    <col min="15865" max="15865" width="32.42578125" style="45" customWidth="1"/>
    <col min="15866" max="15866" width="9.85546875" style="45" customWidth="1"/>
    <col min="15867" max="15867" width="10.140625" style="45" customWidth="1"/>
    <col min="15868" max="15868" width="12.28515625" style="45" customWidth="1"/>
    <col min="15869" max="15869" width="15.42578125" style="45" customWidth="1"/>
    <col min="15870" max="15870" width="11.85546875" style="45" customWidth="1"/>
    <col min="15871" max="15871" width="13.28515625" style="45" customWidth="1"/>
    <col min="15872" max="15872" width="15.28515625" style="45" customWidth="1"/>
    <col min="15873" max="15873" width="11.85546875" style="45" customWidth="1"/>
    <col min="15874" max="15874" width="6.140625" style="45" customWidth="1"/>
    <col min="15875" max="15875" width="11.85546875" style="45" customWidth="1"/>
    <col min="15876" max="15876" width="9.42578125" style="45" customWidth="1"/>
    <col min="15877" max="15877" width="14.7109375" style="45" customWidth="1"/>
    <col min="15878" max="15878" width="11.5703125" style="45" customWidth="1"/>
    <col min="15879" max="15879" width="0.42578125" style="45" customWidth="1"/>
    <col min="15880" max="15880" width="10.5703125" style="45" bestFit="1" customWidth="1"/>
    <col min="15881" max="15881" width="12.28515625" style="45" customWidth="1"/>
    <col min="15882" max="15882" width="12.5703125" style="45" customWidth="1"/>
    <col min="15883" max="15883" width="10.5703125" style="45" customWidth="1"/>
    <col min="15884" max="15884" width="10.140625" style="45" customWidth="1"/>
    <col min="15885" max="15885" width="8.42578125" style="45" customWidth="1"/>
    <col min="15886" max="15886" width="18.85546875" style="45" customWidth="1"/>
    <col min="15887" max="15887" width="10.28515625" style="45" customWidth="1"/>
    <col min="15888" max="15888" width="11.42578125" style="45"/>
    <col min="15889" max="15889" width="12.140625" style="45" customWidth="1"/>
    <col min="15890" max="15890" width="10.5703125" style="45" customWidth="1"/>
    <col min="15891" max="15891" width="12.42578125" style="45" customWidth="1"/>
    <col min="15892" max="15892" width="15.140625" style="45" customWidth="1"/>
    <col min="15893" max="15893" width="13.5703125" style="45" customWidth="1"/>
    <col min="15894" max="15894" width="13.140625" style="45" customWidth="1"/>
    <col min="15895" max="15895" width="15.7109375" style="45" customWidth="1"/>
    <col min="15896" max="15896" width="37.5703125" style="45" customWidth="1"/>
    <col min="15897" max="16118" width="11.42578125" style="45"/>
    <col min="16119" max="16119" width="10.5703125" style="45" customWidth="1"/>
    <col min="16120" max="16120" width="4.85546875" style="45" customWidth="1"/>
    <col min="16121" max="16121" width="32.42578125" style="45" customWidth="1"/>
    <col min="16122" max="16122" width="9.85546875" style="45" customWidth="1"/>
    <col min="16123" max="16123" width="10.140625" style="45" customWidth="1"/>
    <col min="16124" max="16124" width="12.28515625" style="45" customWidth="1"/>
    <col min="16125" max="16125" width="15.42578125" style="45" customWidth="1"/>
    <col min="16126" max="16126" width="11.85546875" style="45" customWidth="1"/>
    <col min="16127" max="16127" width="13.28515625" style="45" customWidth="1"/>
    <col min="16128" max="16128" width="15.28515625" style="45" customWidth="1"/>
    <col min="16129" max="16129" width="11.85546875" style="45" customWidth="1"/>
    <col min="16130" max="16130" width="6.140625" style="45" customWidth="1"/>
    <col min="16131" max="16131" width="11.85546875" style="45" customWidth="1"/>
    <col min="16132" max="16132" width="9.42578125" style="45" customWidth="1"/>
    <col min="16133" max="16133" width="14.7109375" style="45" customWidth="1"/>
    <col min="16134" max="16134" width="11.5703125" style="45" customWidth="1"/>
    <col min="16135" max="16135" width="0.42578125" style="45" customWidth="1"/>
    <col min="16136" max="16136" width="10.5703125" style="45" bestFit="1" customWidth="1"/>
    <col min="16137" max="16137" width="12.28515625" style="45" customWidth="1"/>
    <col min="16138" max="16138" width="12.5703125" style="45" customWidth="1"/>
    <col min="16139" max="16139" width="10.5703125" style="45" customWidth="1"/>
    <col min="16140" max="16140" width="10.140625" style="45" customWidth="1"/>
    <col min="16141" max="16141" width="8.42578125" style="45" customWidth="1"/>
    <col min="16142" max="16142" width="18.85546875" style="45" customWidth="1"/>
    <col min="16143" max="16143" width="10.28515625" style="45" customWidth="1"/>
    <col min="16144" max="16144" width="11.42578125" style="45"/>
    <col min="16145" max="16145" width="12.140625" style="45" customWidth="1"/>
    <col min="16146" max="16146" width="10.5703125" style="45" customWidth="1"/>
    <col min="16147" max="16147" width="12.42578125" style="45" customWidth="1"/>
    <col min="16148" max="16148" width="15.140625" style="45" customWidth="1"/>
    <col min="16149" max="16149" width="13.5703125" style="45" customWidth="1"/>
    <col min="16150" max="16150" width="13.140625" style="45" customWidth="1"/>
    <col min="16151" max="16151" width="15.7109375" style="45" customWidth="1"/>
    <col min="16152" max="16152" width="37.5703125" style="45" customWidth="1"/>
    <col min="16153" max="16384" width="11.42578125" style="45"/>
  </cols>
  <sheetData>
    <row r="1" spans="1:24" x14ac:dyDescent="0.25">
      <c r="C1" s="87" t="s">
        <v>152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4"/>
      <c r="W1" s="44"/>
      <c r="X1" s="4"/>
    </row>
    <row r="2" spans="1:24" x14ac:dyDescent="0.25">
      <c r="C2" s="3" t="s">
        <v>1</v>
      </c>
      <c r="D2" s="4"/>
      <c r="E2" s="88" t="s">
        <v>2</v>
      </c>
      <c r="F2" s="88"/>
      <c r="G2" s="88"/>
      <c r="H2" s="88"/>
      <c r="I2" s="88"/>
      <c r="J2" s="88"/>
      <c r="K2" s="88"/>
      <c r="L2" s="88" t="s">
        <v>3</v>
      </c>
      <c r="M2" s="88"/>
      <c r="N2" s="88"/>
      <c r="O2" s="88"/>
      <c r="P2" s="88"/>
      <c r="Q2" s="88"/>
      <c r="R2" s="88"/>
      <c r="S2" s="88"/>
      <c r="T2" s="88"/>
      <c r="U2" s="4"/>
      <c r="V2" s="4"/>
      <c r="W2" s="44"/>
      <c r="X2" s="4"/>
    </row>
    <row r="3" spans="1:24" ht="48" x14ac:dyDescent="0.25">
      <c r="A3" s="89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13</v>
      </c>
      <c r="K3" s="12" t="s">
        <v>14</v>
      </c>
      <c r="L3" s="12" t="s">
        <v>15</v>
      </c>
      <c r="M3" s="12" t="s">
        <v>16</v>
      </c>
      <c r="N3" s="12" t="s">
        <v>17</v>
      </c>
      <c r="O3" s="12" t="s">
        <v>147</v>
      </c>
      <c r="P3" s="12" t="s">
        <v>19</v>
      </c>
      <c r="Q3" s="12" t="s">
        <v>20</v>
      </c>
      <c r="R3" s="12" t="s">
        <v>21</v>
      </c>
      <c r="S3" s="12" t="s">
        <v>22</v>
      </c>
      <c r="T3" s="12" t="s">
        <v>23</v>
      </c>
      <c r="U3" s="6" t="s">
        <v>24</v>
      </c>
      <c r="V3" s="6"/>
      <c r="W3" s="46"/>
      <c r="X3" s="6" t="s">
        <v>148</v>
      </c>
    </row>
    <row r="4" spans="1:24" x14ac:dyDescent="0.25">
      <c r="A4" s="90"/>
      <c r="B4" s="4">
        <v>1</v>
      </c>
      <c r="C4" s="11" t="s">
        <v>26</v>
      </c>
      <c r="D4" s="6" t="s">
        <v>27</v>
      </c>
      <c r="E4" s="5">
        <v>4815000</v>
      </c>
      <c r="F4" s="5">
        <v>30</v>
      </c>
      <c r="G4" s="5">
        <v>4815000</v>
      </c>
      <c r="H4" s="5"/>
      <c r="I4" s="5"/>
      <c r="J4" s="5"/>
      <c r="K4" s="5">
        <f t="shared" ref="K4:K33" si="0">SUM(G4:I4)+J4</f>
        <v>4815000</v>
      </c>
      <c r="L4" s="5">
        <f t="shared" ref="L4:L32" si="1">+G4*4%</f>
        <v>192600</v>
      </c>
      <c r="M4" s="5">
        <f>+G4*5%</f>
        <v>240750</v>
      </c>
      <c r="N4" s="5"/>
      <c r="O4" s="5"/>
      <c r="P4" s="5">
        <v>19000</v>
      </c>
      <c r="Q4" s="5"/>
      <c r="R4" s="5"/>
      <c r="S4" s="5"/>
      <c r="T4" s="5">
        <f t="shared" ref="T4:T51" si="2">SUM(L4:S4)</f>
        <v>452350</v>
      </c>
      <c r="U4" s="7">
        <f t="shared" ref="U4:U9" si="3">+K4-T4</f>
        <v>4362650</v>
      </c>
      <c r="V4" s="7"/>
      <c r="W4" s="44"/>
      <c r="X4" s="7">
        <f t="shared" ref="X4:X67" si="4">U4+V4-W4</f>
        <v>4362650</v>
      </c>
    </row>
    <row r="5" spans="1:24" ht="24" x14ac:dyDescent="0.25">
      <c r="A5" s="90"/>
      <c r="B5" s="4">
        <v>2</v>
      </c>
      <c r="C5" s="11" t="s">
        <v>28</v>
      </c>
      <c r="D5" s="6" t="s">
        <v>27</v>
      </c>
      <c r="E5" s="5">
        <v>4000000</v>
      </c>
      <c r="F5" s="5">
        <v>30</v>
      </c>
      <c r="G5" s="5">
        <f t="shared" ref="G5:G9" si="5">+E5/30*F5</f>
        <v>4000000.0000000005</v>
      </c>
      <c r="H5" s="5"/>
      <c r="I5" s="5">
        <v>800000</v>
      </c>
      <c r="J5" s="5"/>
      <c r="K5" s="5">
        <f t="shared" si="0"/>
        <v>4800000</v>
      </c>
      <c r="L5" s="5">
        <f>+E5*4%</f>
        <v>160000</v>
      </c>
      <c r="M5" s="5">
        <f>+E5*5%</f>
        <v>200000</v>
      </c>
      <c r="N5" s="5"/>
      <c r="O5" s="5"/>
      <c r="P5" s="5">
        <v>31064</v>
      </c>
      <c r="Q5" s="5"/>
      <c r="R5" s="5"/>
      <c r="S5" s="5"/>
      <c r="T5" s="5">
        <f t="shared" si="2"/>
        <v>391064</v>
      </c>
      <c r="U5" s="7">
        <f t="shared" si="3"/>
        <v>4408936</v>
      </c>
      <c r="V5" s="7"/>
      <c r="W5" s="44"/>
      <c r="X5" s="7">
        <f t="shared" si="4"/>
        <v>4408936</v>
      </c>
    </row>
    <row r="6" spans="1:24" x14ac:dyDescent="0.25">
      <c r="A6" s="90"/>
      <c r="B6" s="4">
        <v>3</v>
      </c>
      <c r="C6" s="11" t="s">
        <v>29</v>
      </c>
      <c r="D6" s="6" t="s">
        <v>27</v>
      </c>
      <c r="E6" s="5">
        <v>5500000</v>
      </c>
      <c r="F6" s="5">
        <v>30</v>
      </c>
      <c r="G6" s="5">
        <f t="shared" si="5"/>
        <v>5500000</v>
      </c>
      <c r="H6" s="5"/>
      <c r="I6" s="5"/>
      <c r="J6" s="5"/>
      <c r="K6" s="5">
        <f t="shared" si="0"/>
        <v>5500000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4903000</v>
      </c>
      <c r="V6" s="7"/>
      <c r="W6" s="44"/>
      <c r="X6" s="7">
        <f t="shared" si="4"/>
        <v>4903000</v>
      </c>
    </row>
    <row r="7" spans="1:24" x14ac:dyDescent="0.25">
      <c r="A7" s="90"/>
      <c r="B7" s="4">
        <v>4</v>
      </c>
      <c r="C7" s="11" t="s">
        <v>30</v>
      </c>
      <c r="D7" s="6" t="s">
        <v>27</v>
      </c>
      <c r="E7" s="5">
        <v>5492319</v>
      </c>
      <c r="F7" s="5">
        <v>30</v>
      </c>
      <c r="G7" s="5">
        <f t="shared" si="5"/>
        <v>5492319</v>
      </c>
      <c r="H7" s="5"/>
      <c r="I7" s="5"/>
      <c r="J7" s="5"/>
      <c r="K7" s="5">
        <f t="shared" ref="K7" si="6">SUM(G7:I7)+J7</f>
        <v>5492319</v>
      </c>
      <c r="L7" s="5">
        <f>+K7*4%</f>
        <v>219692.76</v>
      </c>
      <c r="M7" s="5">
        <f>+K7*5%</f>
        <v>274615.95</v>
      </c>
      <c r="N7" s="5"/>
      <c r="O7" s="5"/>
      <c r="P7" s="17">
        <v>98000</v>
      </c>
      <c r="Q7" s="5"/>
      <c r="R7" s="5"/>
      <c r="S7" s="5">
        <v>726520</v>
      </c>
      <c r="T7" s="5">
        <f t="shared" ref="T7" si="7">SUM(L7:S7)</f>
        <v>1318828.71</v>
      </c>
      <c r="U7" s="7">
        <f t="shared" si="3"/>
        <v>4173490.29</v>
      </c>
      <c r="V7" s="7"/>
      <c r="W7" s="44"/>
      <c r="X7" s="7">
        <f t="shared" si="4"/>
        <v>4173490.29</v>
      </c>
    </row>
    <row r="8" spans="1:24" x14ac:dyDescent="0.25">
      <c r="A8" s="90"/>
      <c r="B8" s="4">
        <v>5</v>
      </c>
      <c r="C8" s="11" t="s">
        <v>142</v>
      </c>
      <c r="D8" s="6" t="s">
        <v>27</v>
      </c>
      <c r="E8" s="5">
        <v>5000000</v>
      </c>
      <c r="F8" s="5">
        <v>30</v>
      </c>
      <c r="G8" s="5">
        <f t="shared" si="5"/>
        <v>5000000</v>
      </c>
      <c r="H8" s="5"/>
      <c r="I8" s="5"/>
      <c r="J8" s="5"/>
      <c r="K8" s="5">
        <f t="shared" si="0"/>
        <v>5000000</v>
      </c>
      <c r="L8" s="5">
        <f>+K8*4%</f>
        <v>200000</v>
      </c>
      <c r="M8" s="5">
        <f>+K8*5%</f>
        <v>250000</v>
      </c>
      <c r="N8" s="5"/>
      <c r="O8" s="5"/>
      <c r="P8" s="17">
        <v>102000</v>
      </c>
      <c r="Q8" s="5"/>
      <c r="R8" s="5"/>
      <c r="S8" s="5"/>
      <c r="T8" s="5">
        <f t="shared" si="2"/>
        <v>552000</v>
      </c>
      <c r="U8" s="7">
        <f t="shared" si="3"/>
        <v>4448000</v>
      </c>
      <c r="V8" s="7"/>
      <c r="W8" s="44"/>
      <c r="X8" s="7">
        <f t="shared" si="4"/>
        <v>4448000</v>
      </c>
    </row>
    <row r="9" spans="1:24" x14ac:dyDescent="0.25">
      <c r="A9" s="90"/>
      <c r="B9" s="4">
        <v>6</v>
      </c>
      <c r="C9" s="11" t="s">
        <v>31</v>
      </c>
      <c r="D9" s="6" t="s">
        <v>27</v>
      </c>
      <c r="E9" s="5">
        <v>5000000</v>
      </c>
      <c r="F9" s="5">
        <v>30</v>
      </c>
      <c r="G9" s="5">
        <f t="shared" si="5"/>
        <v>5000000</v>
      </c>
      <c r="H9" s="5"/>
      <c r="I9" s="5">
        <v>2012670</v>
      </c>
      <c r="J9" s="5"/>
      <c r="K9" s="5">
        <f t="shared" si="0"/>
        <v>7012670</v>
      </c>
      <c r="L9" s="5">
        <f t="shared" si="1"/>
        <v>200000</v>
      </c>
      <c r="M9" s="5">
        <f t="shared" ref="M9:M32" si="8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2"/>
        <v>1200000</v>
      </c>
      <c r="U9" s="7">
        <f t="shared" si="3"/>
        <v>5812670</v>
      </c>
      <c r="V9" s="7"/>
      <c r="W9" s="44"/>
      <c r="X9" s="7">
        <f t="shared" si="4"/>
        <v>5812670</v>
      </c>
    </row>
    <row r="10" spans="1:24" x14ac:dyDescent="0.25">
      <c r="A10" s="90"/>
      <c r="B10" s="4">
        <v>7</v>
      </c>
      <c r="C10" s="11" t="s">
        <v>32</v>
      </c>
      <c r="D10" s="6" t="s">
        <v>27</v>
      </c>
      <c r="E10" s="5">
        <v>4500000</v>
      </c>
      <c r="F10" s="5">
        <v>30</v>
      </c>
      <c r="G10" s="5">
        <f>E10/30*F10</f>
        <v>4500000</v>
      </c>
      <c r="H10" s="5"/>
      <c r="I10" s="5"/>
      <c r="J10" s="5"/>
      <c r="K10" s="5">
        <f t="shared" si="0"/>
        <v>4500000</v>
      </c>
      <c r="L10" s="5">
        <f>+E10*4%</f>
        <v>180000</v>
      </c>
      <c r="M10" s="5">
        <f>+E10*5%</f>
        <v>225000</v>
      </c>
      <c r="N10" s="5"/>
      <c r="O10" s="5">
        <v>100000</v>
      </c>
      <c r="P10" s="5">
        <v>2545</v>
      </c>
      <c r="Q10" s="5"/>
      <c r="R10" s="5"/>
      <c r="S10" s="5">
        <f>945750+420786</f>
        <v>1366536</v>
      </c>
      <c r="T10" s="5">
        <f t="shared" si="2"/>
        <v>1874081</v>
      </c>
      <c r="U10" s="7">
        <f>K10-T10</f>
        <v>2625919</v>
      </c>
      <c r="V10" s="7"/>
      <c r="W10" s="44"/>
      <c r="X10" s="7">
        <f t="shared" si="4"/>
        <v>2625919</v>
      </c>
    </row>
    <row r="11" spans="1:24" x14ac:dyDescent="0.25">
      <c r="A11" s="90"/>
      <c r="B11" s="4">
        <v>8</v>
      </c>
      <c r="C11" s="11" t="s">
        <v>33</v>
      </c>
      <c r="D11" s="6" t="s">
        <v>27</v>
      </c>
      <c r="E11" s="5">
        <v>4500000</v>
      </c>
      <c r="F11" s="5">
        <v>30</v>
      </c>
      <c r="G11" s="5">
        <f>E11/30*F11</f>
        <v>4500000</v>
      </c>
      <c r="H11" s="5"/>
      <c r="I11" s="5"/>
      <c r="J11" s="5"/>
      <c r="K11" s="5">
        <f t="shared" ref="K11" si="9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" si="10">SUM(L11:S11)</f>
        <v>415000</v>
      </c>
      <c r="U11" s="7">
        <f>K11-T11</f>
        <v>4085000</v>
      </c>
      <c r="V11" s="7"/>
      <c r="W11" s="44"/>
      <c r="X11" s="7">
        <f t="shared" si="4"/>
        <v>4085000</v>
      </c>
    </row>
    <row r="12" spans="1:24" x14ac:dyDescent="0.25">
      <c r="A12" s="90"/>
      <c r="B12" s="4">
        <v>9</v>
      </c>
      <c r="C12" s="11" t="s">
        <v>36</v>
      </c>
      <c r="D12" s="6" t="s">
        <v>27</v>
      </c>
      <c r="E12" s="5">
        <v>5400000</v>
      </c>
      <c r="F12" s="5">
        <v>30</v>
      </c>
      <c r="G12" s="5">
        <f>+E12/30*F12</f>
        <v>5400000</v>
      </c>
      <c r="H12" s="5"/>
      <c r="I12" s="5"/>
      <c r="J12" s="5"/>
      <c r="K12" s="5">
        <f t="shared" si="0"/>
        <v>5400000</v>
      </c>
      <c r="L12" s="5">
        <f>+G12*4%</f>
        <v>216000</v>
      </c>
      <c r="M12" s="5">
        <f>+G12*5%</f>
        <v>270000</v>
      </c>
      <c r="N12" s="5"/>
      <c r="O12" s="5"/>
      <c r="P12" s="5">
        <v>6248</v>
      </c>
      <c r="Q12" s="5"/>
      <c r="R12" s="5"/>
      <c r="S12" s="5"/>
      <c r="T12" s="5">
        <f t="shared" si="2"/>
        <v>492248</v>
      </c>
      <c r="U12" s="7">
        <f t="shared" ref="U12:U18" si="11">+K12-T12</f>
        <v>4907752</v>
      </c>
      <c r="V12" s="7"/>
      <c r="W12" s="44"/>
      <c r="X12" s="7">
        <f t="shared" si="4"/>
        <v>4907752</v>
      </c>
    </row>
    <row r="13" spans="1:24" x14ac:dyDescent="0.25">
      <c r="A13" s="90"/>
      <c r="B13" s="4">
        <v>10</v>
      </c>
      <c r="C13" s="3" t="s">
        <v>37</v>
      </c>
      <c r="D13" s="4" t="s">
        <v>27</v>
      </c>
      <c r="E13" s="5">
        <v>4500000</v>
      </c>
      <c r="F13" s="5">
        <v>30</v>
      </c>
      <c r="G13" s="5">
        <f t="shared" ref="G13:G18" si="12">+E13/30*F13</f>
        <v>4500000</v>
      </c>
      <c r="H13" s="5"/>
      <c r="I13" s="5"/>
      <c r="J13" s="5"/>
      <c r="K13" s="5">
        <f t="shared" si="0"/>
        <v>4500000</v>
      </c>
      <c r="L13" s="5">
        <v>180000</v>
      </c>
      <c r="M13" s="5">
        <v>225000</v>
      </c>
      <c r="N13" s="5"/>
      <c r="O13" s="5"/>
      <c r="P13" s="5">
        <v>8500</v>
      </c>
      <c r="Q13" s="5"/>
      <c r="R13" s="5"/>
      <c r="S13" s="5"/>
      <c r="T13" s="5">
        <f t="shared" si="2"/>
        <v>413500</v>
      </c>
      <c r="U13" s="7">
        <f t="shared" si="11"/>
        <v>4086500</v>
      </c>
      <c r="V13" s="7"/>
      <c r="W13" s="44"/>
      <c r="X13" s="7">
        <f t="shared" si="4"/>
        <v>4086500</v>
      </c>
    </row>
    <row r="14" spans="1:24" x14ac:dyDescent="0.25">
      <c r="A14" s="90"/>
      <c r="B14" s="4">
        <v>11</v>
      </c>
      <c r="C14" s="3" t="s">
        <v>38</v>
      </c>
      <c r="D14" s="4" t="s">
        <v>27</v>
      </c>
      <c r="E14" s="5">
        <v>4200000</v>
      </c>
      <c r="F14" s="5">
        <v>30</v>
      </c>
      <c r="G14" s="5">
        <f>+E14-J14</f>
        <v>3360000</v>
      </c>
      <c r="H14" s="5"/>
      <c r="I14" s="5"/>
      <c r="J14" s="5">
        <v>840000</v>
      </c>
      <c r="K14" s="5">
        <f t="shared" ref="K14:K16" si="13">SUM(G14:I14)+J14</f>
        <v>4200000</v>
      </c>
      <c r="L14" s="5">
        <v>168000</v>
      </c>
      <c r="M14" s="5">
        <v>210000</v>
      </c>
      <c r="N14" s="5"/>
      <c r="O14" s="5"/>
      <c r="P14" s="5">
        <v>32000</v>
      </c>
      <c r="Q14" s="5"/>
      <c r="R14" s="5"/>
      <c r="S14" s="5">
        <v>838529</v>
      </c>
      <c r="T14" s="5">
        <f t="shared" ref="T14:T16" si="14">SUM(L14:S14)</f>
        <v>1248529</v>
      </c>
      <c r="U14" s="7">
        <f t="shared" si="11"/>
        <v>2951471</v>
      </c>
      <c r="V14" s="7"/>
      <c r="W14" s="44"/>
      <c r="X14" s="7">
        <f t="shared" si="4"/>
        <v>2951471</v>
      </c>
    </row>
    <row r="15" spans="1:24" x14ac:dyDescent="0.25">
      <c r="A15" s="90"/>
      <c r="B15" s="4">
        <v>12</v>
      </c>
      <c r="C15" s="3" t="s">
        <v>39</v>
      </c>
      <c r="D15" s="4" t="s">
        <v>35</v>
      </c>
      <c r="E15" s="5">
        <v>4000000</v>
      </c>
      <c r="F15" s="5">
        <v>30</v>
      </c>
      <c r="G15" s="5">
        <f t="shared" ref="G15:G16" si="15">+E15/30*F15</f>
        <v>4000000.0000000005</v>
      </c>
      <c r="H15" s="5"/>
      <c r="I15" s="5"/>
      <c r="J15" s="5"/>
      <c r="K15" s="5">
        <f t="shared" si="13"/>
        <v>4000000.0000000005</v>
      </c>
      <c r="L15" s="5">
        <v>160000</v>
      </c>
      <c r="M15" s="5">
        <v>200000</v>
      </c>
      <c r="N15" s="5"/>
      <c r="O15" s="5"/>
      <c r="P15" s="5">
        <v>4500</v>
      </c>
      <c r="Q15" s="5"/>
      <c r="R15" s="5"/>
      <c r="S15" s="5"/>
      <c r="T15" s="5">
        <f t="shared" si="14"/>
        <v>364500</v>
      </c>
      <c r="U15" s="7">
        <f t="shared" si="11"/>
        <v>3635500.0000000005</v>
      </c>
      <c r="V15" s="7"/>
      <c r="W15" s="44"/>
      <c r="X15" s="7">
        <f t="shared" si="4"/>
        <v>3635500.0000000005</v>
      </c>
    </row>
    <row r="16" spans="1:24" x14ac:dyDescent="0.25">
      <c r="A16" s="90"/>
      <c r="B16" s="4">
        <v>13</v>
      </c>
      <c r="C16" s="3" t="s">
        <v>40</v>
      </c>
      <c r="D16" s="4" t="s">
        <v>35</v>
      </c>
      <c r="E16" s="5">
        <v>4500000</v>
      </c>
      <c r="F16" s="5">
        <v>30</v>
      </c>
      <c r="G16" s="5">
        <f t="shared" si="15"/>
        <v>4500000</v>
      </c>
      <c r="H16" s="5"/>
      <c r="I16" s="5"/>
      <c r="J16" s="5"/>
      <c r="K16" s="5">
        <f t="shared" si="13"/>
        <v>4500000</v>
      </c>
      <c r="L16" s="5">
        <f>+G16*4%</f>
        <v>180000</v>
      </c>
      <c r="M16" s="5">
        <f>+G16*5%</f>
        <v>225000</v>
      </c>
      <c r="N16" s="5"/>
      <c r="O16" s="5"/>
      <c r="P16" s="5">
        <v>72000</v>
      </c>
      <c r="Q16" s="5"/>
      <c r="R16" s="5"/>
      <c r="S16" s="5"/>
      <c r="T16" s="5">
        <f t="shared" si="14"/>
        <v>477000</v>
      </c>
      <c r="U16" s="7">
        <f t="shared" si="11"/>
        <v>4023000</v>
      </c>
      <c r="V16" s="7"/>
      <c r="W16" s="44"/>
      <c r="X16" s="7">
        <f t="shared" si="4"/>
        <v>4023000</v>
      </c>
    </row>
    <row r="17" spans="1:24" x14ac:dyDescent="0.25">
      <c r="A17" s="90"/>
      <c r="B17" s="4">
        <v>14</v>
      </c>
      <c r="C17" s="11" t="s">
        <v>41</v>
      </c>
      <c r="D17" s="6" t="s">
        <v>27</v>
      </c>
      <c r="E17" s="5">
        <v>5500000</v>
      </c>
      <c r="F17" s="5">
        <v>30</v>
      </c>
      <c r="G17" s="5">
        <f t="shared" si="12"/>
        <v>5500000</v>
      </c>
      <c r="H17" s="5"/>
      <c r="I17" s="5">
        <v>450000</v>
      </c>
      <c r="J17" s="5"/>
      <c r="K17" s="5">
        <f t="shared" si="0"/>
        <v>5950000</v>
      </c>
      <c r="L17" s="5">
        <f>+G17*4%</f>
        <v>220000</v>
      </c>
      <c r="M17" s="5">
        <f>+G17*5%</f>
        <v>275000</v>
      </c>
      <c r="N17" s="5"/>
      <c r="O17" s="5"/>
      <c r="P17" s="17">
        <v>150521</v>
      </c>
      <c r="Q17" s="5">
        <v>400000</v>
      </c>
      <c r="R17" s="5"/>
      <c r="S17" s="5"/>
      <c r="T17" s="5">
        <f t="shared" si="2"/>
        <v>1045521</v>
      </c>
      <c r="U17" s="7">
        <f t="shared" si="11"/>
        <v>4904479</v>
      </c>
      <c r="V17" s="7"/>
      <c r="W17" s="44"/>
      <c r="X17" s="7">
        <f t="shared" si="4"/>
        <v>4904479</v>
      </c>
    </row>
    <row r="18" spans="1:24" x14ac:dyDescent="0.25">
      <c r="A18" s="90"/>
      <c r="B18" s="4">
        <v>15</v>
      </c>
      <c r="C18" s="11" t="s">
        <v>143</v>
      </c>
      <c r="D18" s="6" t="s">
        <v>27</v>
      </c>
      <c r="E18" s="5">
        <v>5000000</v>
      </c>
      <c r="F18" s="5">
        <v>30</v>
      </c>
      <c r="G18" s="5">
        <f t="shared" si="12"/>
        <v>5000000</v>
      </c>
      <c r="H18" s="5"/>
      <c r="I18" s="5"/>
      <c r="J18" s="5"/>
      <c r="K18" s="5">
        <f t="shared" ref="K18" si="16">SUM(G18:I18)+J18</f>
        <v>5000000</v>
      </c>
      <c r="L18" s="5">
        <f>+G18*4%</f>
        <v>200000</v>
      </c>
      <c r="M18" s="5">
        <f>+G18*5%</f>
        <v>250000</v>
      </c>
      <c r="N18" s="5"/>
      <c r="O18" s="5"/>
      <c r="P18" s="17">
        <v>102000</v>
      </c>
      <c r="Q18" s="5"/>
      <c r="R18" s="5"/>
      <c r="S18" s="5"/>
      <c r="T18" s="5">
        <f t="shared" ref="T18" si="17">SUM(L18:S18)</f>
        <v>552000</v>
      </c>
      <c r="U18" s="7">
        <f t="shared" si="11"/>
        <v>4448000</v>
      </c>
      <c r="V18" s="7"/>
      <c r="W18" s="44"/>
      <c r="X18" s="7">
        <f t="shared" si="4"/>
        <v>4448000</v>
      </c>
    </row>
    <row r="19" spans="1:24" ht="24" x14ac:dyDescent="0.25">
      <c r="A19" s="90"/>
      <c r="B19" s="4">
        <v>16</v>
      </c>
      <c r="C19" s="11" t="s">
        <v>43</v>
      </c>
      <c r="D19" s="6" t="s">
        <v>27</v>
      </c>
      <c r="E19" s="5">
        <v>5000000</v>
      </c>
      <c r="F19" s="5">
        <v>30</v>
      </c>
      <c r="G19" s="5">
        <f>+E19-J19</f>
        <v>5000000</v>
      </c>
      <c r="H19" s="5"/>
      <c r="I19" s="5">
        <v>990000</v>
      </c>
      <c r="J19" s="5"/>
      <c r="K19" s="5">
        <f t="shared" si="0"/>
        <v>5990000</v>
      </c>
      <c r="L19" s="5">
        <v>200000</v>
      </c>
      <c r="M19" s="5">
        <v>250000</v>
      </c>
      <c r="N19" s="5"/>
      <c r="O19" s="5"/>
      <c r="P19" s="17">
        <v>98752</v>
      </c>
      <c r="Q19" s="5"/>
      <c r="R19" s="5"/>
      <c r="S19" s="5"/>
      <c r="T19" s="5">
        <f t="shared" si="2"/>
        <v>548752</v>
      </c>
      <c r="U19" s="7">
        <f>K19-T19</f>
        <v>5441248</v>
      </c>
      <c r="V19" s="7"/>
      <c r="W19" s="44"/>
      <c r="X19" s="7">
        <f t="shared" si="4"/>
        <v>5441248</v>
      </c>
    </row>
    <row r="20" spans="1:24" x14ac:dyDescent="0.25">
      <c r="A20" s="90"/>
      <c r="B20" s="4">
        <v>17</v>
      </c>
      <c r="C20" s="11" t="s">
        <v>44</v>
      </c>
      <c r="D20" s="6" t="s">
        <v>27</v>
      </c>
      <c r="E20" s="5">
        <v>6600000</v>
      </c>
      <c r="F20" s="5">
        <v>30</v>
      </c>
      <c r="G20" s="5">
        <f t="shared" ref="G20:G28" si="18">E20/30*F20</f>
        <v>6600000</v>
      </c>
      <c r="H20" s="5"/>
      <c r="I20" s="5"/>
      <c r="J20" s="5"/>
      <c r="K20" s="5">
        <f t="shared" si="0"/>
        <v>6600000</v>
      </c>
      <c r="L20" s="5">
        <f>+G20*4%</f>
        <v>264000</v>
      </c>
      <c r="M20" s="5">
        <f>+G20*5%</f>
        <v>330000</v>
      </c>
      <c r="N20" s="5"/>
      <c r="O20" s="5"/>
      <c r="P20" s="17">
        <v>288000</v>
      </c>
      <c r="Q20" s="5"/>
      <c r="R20" s="5"/>
      <c r="S20" s="5"/>
      <c r="T20" s="5">
        <f t="shared" si="2"/>
        <v>882000</v>
      </c>
      <c r="U20" s="7">
        <f>K20-T20</f>
        <v>5718000</v>
      </c>
      <c r="V20" s="7"/>
      <c r="W20" s="44"/>
      <c r="X20" s="7">
        <f t="shared" si="4"/>
        <v>5718000</v>
      </c>
    </row>
    <row r="21" spans="1:24" x14ac:dyDescent="0.25">
      <c r="A21" s="90"/>
      <c r="B21" s="4">
        <v>18</v>
      </c>
      <c r="C21" s="11" t="s">
        <v>45</v>
      </c>
      <c r="D21" s="6" t="s">
        <v>27</v>
      </c>
      <c r="E21" s="5">
        <v>6900000</v>
      </c>
      <c r="F21" s="5">
        <v>30</v>
      </c>
      <c r="G21" s="5">
        <f t="shared" si="18"/>
        <v>6900000</v>
      </c>
      <c r="H21" s="5"/>
      <c r="I21" s="5">
        <v>1400000</v>
      </c>
      <c r="J21" s="5"/>
      <c r="K21" s="5">
        <f t="shared" ref="K21" si="19">SUM(G21:I21)+J21</f>
        <v>8300000</v>
      </c>
      <c r="L21" s="5">
        <f t="shared" ref="L21" si="20">+G21*4%</f>
        <v>276000</v>
      </c>
      <c r="M21" s="5">
        <f t="shared" ref="M21" si="21">+G21*5%</f>
        <v>345000</v>
      </c>
      <c r="N21" s="5"/>
      <c r="O21" s="5"/>
      <c r="P21" s="17">
        <v>113000</v>
      </c>
      <c r="Q21" s="5">
        <v>1300000</v>
      </c>
      <c r="R21" s="5"/>
      <c r="S21" s="5"/>
      <c r="T21" s="5">
        <f t="shared" ref="T21:T22" si="22">SUM(L21:S21)</f>
        <v>2034000</v>
      </c>
      <c r="U21" s="7">
        <f>K21-T21</f>
        <v>6266000</v>
      </c>
      <c r="V21" s="7"/>
      <c r="W21" s="44"/>
      <c r="X21" s="7">
        <f t="shared" si="4"/>
        <v>6266000</v>
      </c>
    </row>
    <row r="22" spans="1:24" x14ac:dyDescent="0.25">
      <c r="A22" s="90"/>
      <c r="B22" s="4">
        <v>19</v>
      </c>
      <c r="C22" s="11" t="s">
        <v>46</v>
      </c>
      <c r="D22" s="6" t="s">
        <v>27</v>
      </c>
      <c r="E22" s="5">
        <v>3500000</v>
      </c>
      <c r="F22" s="5">
        <v>30</v>
      </c>
      <c r="G22" s="5">
        <f t="shared" ref="G22" si="23">+E22/30*F22</f>
        <v>3500000</v>
      </c>
      <c r="H22" s="5"/>
      <c r="I22" s="5"/>
      <c r="J22" s="5"/>
      <c r="K22" s="5">
        <f t="shared" ref="K22" si="24">SUM(G22:I22)+J22</f>
        <v>3500000</v>
      </c>
      <c r="L22" s="5">
        <v>140000</v>
      </c>
      <c r="M22" s="5">
        <v>175000</v>
      </c>
      <c r="N22" s="5"/>
      <c r="O22" s="5"/>
      <c r="P22" s="5"/>
      <c r="Q22" s="5"/>
      <c r="R22" s="5"/>
      <c r="S22" s="5"/>
      <c r="T22" s="5">
        <f t="shared" si="22"/>
        <v>315000</v>
      </c>
      <c r="U22" s="7">
        <f t="shared" ref="U22" si="25">+K22-T22</f>
        <v>3185000</v>
      </c>
      <c r="V22" s="7"/>
      <c r="W22" s="44"/>
      <c r="X22" s="7">
        <f t="shared" si="4"/>
        <v>3185000</v>
      </c>
    </row>
    <row r="23" spans="1:24" x14ac:dyDescent="0.25">
      <c r="A23" s="90"/>
      <c r="B23" s="4">
        <v>20</v>
      </c>
      <c r="C23" s="11" t="s">
        <v>47</v>
      </c>
      <c r="D23" s="6" t="s">
        <v>27</v>
      </c>
      <c r="E23" s="5">
        <v>5000000</v>
      </c>
      <c r="F23" s="5">
        <v>30</v>
      </c>
      <c r="G23" s="5">
        <f t="shared" si="18"/>
        <v>5000000</v>
      </c>
      <c r="H23" s="5"/>
      <c r="I23" s="5">
        <v>1621317</v>
      </c>
      <c r="J23" s="5"/>
      <c r="K23" s="5">
        <f t="shared" si="0"/>
        <v>6621317</v>
      </c>
      <c r="L23" s="5">
        <f>+G23*4%</f>
        <v>200000</v>
      </c>
      <c r="M23" s="5">
        <f t="shared" si="8"/>
        <v>250000</v>
      </c>
      <c r="N23" s="5"/>
      <c r="O23" s="5"/>
      <c r="P23" s="17">
        <v>50000</v>
      </c>
      <c r="Q23" s="5">
        <v>3000000</v>
      </c>
      <c r="R23" s="5"/>
      <c r="S23" s="5">
        <f>884747</f>
        <v>884747</v>
      </c>
      <c r="T23" s="5">
        <f t="shared" si="2"/>
        <v>4384747</v>
      </c>
      <c r="U23" s="7">
        <f>+K23-T23</f>
        <v>2236570</v>
      </c>
      <c r="V23" s="7"/>
      <c r="W23" s="44"/>
      <c r="X23" s="7">
        <f t="shared" si="4"/>
        <v>2236570</v>
      </c>
    </row>
    <row r="24" spans="1:24" x14ac:dyDescent="0.25">
      <c r="A24" s="90"/>
      <c r="B24" s="4">
        <v>21</v>
      </c>
      <c r="C24" s="11" t="s">
        <v>48</v>
      </c>
      <c r="D24" s="6" t="s">
        <v>27</v>
      </c>
      <c r="E24" s="5">
        <v>4500000</v>
      </c>
      <c r="F24" s="5">
        <v>30</v>
      </c>
      <c r="G24" s="5">
        <f>+E24-J24</f>
        <v>4500000</v>
      </c>
      <c r="H24" s="5"/>
      <c r="I24" s="5"/>
      <c r="J24" s="5"/>
      <c r="K24" s="5">
        <f t="shared" si="0"/>
        <v>4500000</v>
      </c>
      <c r="L24" s="5">
        <v>180000</v>
      </c>
      <c r="M24" s="5">
        <v>225000</v>
      </c>
      <c r="N24" s="5"/>
      <c r="O24" s="5">
        <v>100000</v>
      </c>
      <c r="P24" s="17">
        <v>31000</v>
      </c>
      <c r="Q24" s="5"/>
      <c r="R24" s="5"/>
      <c r="S24" s="5"/>
      <c r="T24" s="5">
        <f t="shared" si="2"/>
        <v>536000</v>
      </c>
      <c r="U24" s="7">
        <f>+K24-T24</f>
        <v>3964000</v>
      </c>
      <c r="V24" s="7"/>
      <c r="W24" s="44"/>
      <c r="X24" s="7">
        <f t="shared" si="4"/>
        <v>3964000</v>
      </c>
    </row>
    <row r="25" spans="1:24" x14ac:dyDescent="0.25">
      <c r="A25" s="90"/>
      <c r="B25" s="4">
        <v>22</v>
      </c>
      <c r="C25" s="11" t="s">
        <v>49</v>
      </c>
      <c r="D25" s="6" t="s">
        <v>27</v>
      </c>
      <c r="E25" s="5">
        <v>5000000</v>
      </c>
      <c r="F25" s="5">
        <v>30</v>
      </c>
      <c r="G25" s="5">
        <f>+E25-J25</f>
        <v>4333333</v>
      </c>
      <c r="H25" s="5"/>
      <c r="I25" s="5"/>
      <c r="J25" s="5">
        <v>666667</v>
      </c>
      <c r="K25" s="5">
        <f t="shared" ref="K25" si="26">SUM(G25:I25)+J25</f>
        <v>5000000</v>
      </c>
      <c r="L25" s="5">
        <f>+E25*4%</f>
        <v>200000</v>
      </c>
      <c r="M25" s="5">
        <f>+E25*5%</f>
        <v>250000</v>
      </c>
      <c r="N25" s="5"/>
      <c r="O25" s="5">
        <v>73900</v>
      </c>
      <c r="P25" s="17">
        <v>140000</v>
      </c>
      <c r="Q25" s="5"/>
      <c r="R25" s="5"/>
      <c r="S25" s="5"/>
      <c r="T25" s="5">
        <f t="shared" ref="T25" si="27">SUM(L25:S25)</f>
        <v>663900</v>
      </c>
      <c r="U25" s="7">
        <f>+K25-T25</f>
        <v>4336100</v>
      </c>
      <c r="V25" s="7"/>
      <c r="W25" s="44"/>
      <c r="X25" s="7">
        <f t="shared" si="4"/>
        <v>4336100</v>
      </c>
    </row>
    <row r="26" spans="1:24" x14ac:dyDescent="0.25">
      <c r="A26" s="90"/>
      <c r="B26" s="4">
        <v>23</v>
      </c>
      <c r="C26" s="11" t="s">
        <v>50</v>
      </c>
      <c r="D26" s="6" t="s">
        <v>27</v>
      </c>
      <c r="E26" s="5">
        <v>4500000</v>
      </c>
      <c r="F26" s="5">
        <v>30</v>
      </c>
      <c r="G26" s="5">
        <f t="shared" ref="G26" si="28">E26/30*F26</f>
        <v>4500000</v>
      </c>
      <c r="H26" s="5"/>
      <c r="I26" s="5"/>
      <c r="J26" s="5"/>
      <c r="K26" s="5">
        <f t="shared" ref="K26" si="29">SUM(G26:I26)+J26</f>
        <v>4500000</v>
      </c>
      <c r="L26" s="5">
        <f>+G26*4%</f>
        <v>180000</v>
      </c>
      <c r="M26" s="5">
        <f>+G26*5%</f>
        <v>225000</v>
      </c>
      <c r="N26" s="5"/>
      <c r="O26" s="5"/>
      <c r="P26" s="17">
        <v>72000</v>
      </c>
      <c r="Q26" s="5"/>
      <c r="R26" s="5"/>
      <c r="S26" s="5"/>
      <c r="T26" s="5">
        <f t="shared" ref="T26" si="30">SUM(L26:S26)</f>
        <v>477000</v>
      </c>
      <c r="U26" s="7">
        <f>+K26-T26</f>
        <v>4023000</v>
      </c>
      <c r="V26" s="7"/>
      <c r="W26" s="44"/>
      <c r="X26" s="7">
        <f t="shared" si="4"/>
        <v>4023000</v>
      </c>
    </row>
    <row r="27" spans="1:24" x14ac:dyDescent="0.25">
      <c r="A27" s="90"/>
      <c r="B27" s="4">
        <v>24</v>
      </c>
      <c r="C27" s="11" t="s">
        <v>51</v>
      </c>
      <c r="D27" s="6" t="s">
        <v>27</v>
      </c>
      <c r="E27" s="5">
        <v>6000000</v>
      </c>
      <c r="F27" s="5">
        <v>30</v>
      </c>
      <c r="G27" s="5">
        <f t="shared" si="18"/>
        <v>6000000</v>
      </c>
      <c r="H27" s="5"/>
      <c r="I27" s="5"/>
      <c r="J27" s="5"/>
      <c r="K27" s="5">
        <f t="shared" si="0"/>
        <v>6000000</v>
      </c>
      <c r="L27" s="5">
        <f>+E27*4%</f>
        <v>240000</v>
      </c>
      <c r="M27" s="5">
        <f>E27*5%</f>
        <v>300000</v>
      </c>
      <c r="N27" s="5"/>
      <c r="O27" s="5"/>
      <c r="P27" s="17">
        <v>79000</v>
      </c>
      <c r="Q27" s="5"/>
      <c r="R27" s="5"/>
      <c r="S27" s="5"/>
      <c r="T27" s="5">
        <f t="shared" si="2"/>
        <v>619000</v>
      </c>
      <c r="U27" s="7">
        <f>K27-T27</f>
        <v>5381000</v>
      </c>
      <c r="V27" s="7"/>
      <c r="W27" s="44"/>
      <c r="X27" s="7">
        <f t="shared" si="4"/>
        <v>5381000</v>
      </c>
    </row>
    <row r="28" spans="1:24" x14ac:dyDescent="0.25">
      <c r="A28" s="90"/>
      <c r="B28" s="4">
        <v>25</v>
      </c>
      <c r="C28" s="11" t="s">
        <v>53</v>
      </c>
      <c r="D28" s="6" t="s">
        <v>27</v>
      </c>
      <c r="E28" s="5">
        <v>3500000</v>
      </c>
      <c r="F28" s="5">
        <v>30</v>
      </c>
      <c r="G28" s="5">
        <f t="shared" si="18"/>
        <v>3500000</v>
      </c>
      <c r="H28" s="5"/>
      <c r="I28" s="5"/>
      <c r="J28" s="5"/>
      <c r="K28" s="5">
        <f>SUM(G28:I28)+J28</f>
        <v>3500000</v>
      </c>
      <c r="L28" s="5">
        <v>140000</v>
      </c>
      <c r="M28" s="5">
        <v>175000</v>
      </c>
      <c r="N28" s="5"/>
      <c r="O28" s="5">
        <v>100000</v>
      </c>
      <c r="P28" s="17">
        <v>0</v>
      </c>
      <c r="Q28" s="5"/>
      <c r="R28" s="5"/>
      <c r="S28" s="5"/>
      <c r="T28" s="5">
        <f t="shared" ref="T28" si="31">SUM(L28:S28)</f>
        <v>415000</v>
      </c>
      <c r="U28" s="7">
        <f>K28-T28</f>
        <v>3085000</v>
      </c>
      <c r="V28" s="7"/>
      <c r="W28" s="44"/>
      <c r="X28" s="7">
        <f t="shared" si="4"/>
        <v>3085000</v>
      </c>
    </row>
    <row r="29" spans="1:24" x14ac:dyDescent="0.25">
      <c r="A29" s="90"/>
      <c r="B29" s="4">
        <v>26</v>
      </c>
      <c r="C29" s="11" t="s">
        <v>54</v>
      </c>
      <c r="D29" s="6" t="s">
        <v>27</v>
      </c>
      <c r="E29" s="5">
        <v>4800000</v>
      </c>
      <c r="F29" s="5">
        <v>30</v>
      </c>
      <c r="G29" s="5">
        <f t="shared" ref="G29:G59" si="32">+E29/30*F29</f>
        <v>4800000</v>
      </c>
      <c r="H29" s="5"/>
      <c r="I29" s="5"/>
      <c r="J29" s="5"/>
      <c r="K29" s="5">
        <f t="shared" si="0"/>
        <v>4800000</v>
      </c>
      <c r="L29" s="5">
        <f>+G29*4%</f>
        <v>192000</v>
      </c>
      <c r="M29" s="5">
        <f>+G29*5%</f>
        <v>240000</v>
      </c>
      <c r="N29" s="5"/>
      <c r="O29" s="5"/>
      <c r="P29" s="5">
        <v>0</v>
      </c>
      <c r="Q29" s="5">
        <v>1300000</v>
      </c>
      <c r="R29" s="5"/>
      <c r="S29" s="5">
        <v>209579</v>
      </c>
      <c r="T29" s="5">
        <f t="shared" si="2"/>
        <v>1941579</v>
      </c>
      <c r="U29" s="7">
        <f>K29-T29</f>
        <v>2858421</v>
      </c>
      <c r="V29" s="7"/>
      <c r="W29" s="44"/>
      <c r="X29" s="7">
        <f t="shared" si="4"/>
        <v>2858421</v>
      </c>
    </row>
    <row r="30" spans="1:24" x14ac:dyDescent="0.25">
      <c r="A30" s="90"/>
      <c r="B30" s="4">
        <v>27</v>
      </c>
      <c r="C30" s="11" t="s">
        <v>55</v>
      </c>
      <c r="D30" s="6" t="s">
        <v>27</v>
      </c>
      <c r="E30" s="5">
        <v>4280000</v>
      </c>
      <c r="F30" s="5">
        <v>30</v>
      </c>
      <c r="G30" s="5">
        <f>E30/30*F30</f>
        <v>4280000</v>
      </c>
      <c r="H30" s="5"/>
      <c r="I30" s="5"/>
      <c r="J30" s="5"/>
      <c r="K30" s="5">
        <f t="shared" si="0"/>
        <v>4280000</v>
      </c>
      <c r="L30" s="5">
        <f>+G30*4%</f>
        <v>171200</v>
      </c>
      <c r="M30" s="5">
        <f>+G30*5%</f>
        <v>214000</v>
      </c>
      <c r="N30" s="5"/>
      <c r="O30" s="5"/>
      <c r="P30" s="17">
        <v>31064</v>
      </c>
      <c r="Q30" s="5"/>
      <c r="R30" s="5"/>
      <c r="S30" s="5"/>
      <c r="T30" s="5">
        <f t="shared" si="2"/>
        <v>416264</v>
      </c>
      <c r="U30" s="7">
        <f>K30-T30</f>
        <v>3863736</v>
      </c>
      <c r="V30" s="7"/>
      <c r="W30" s="44"/>
      <c r="X30" s="7">
        <f t="shared" si="4"/>
        <v>3863736</v>
      </c>
    </row>
    <row r="31" spans="1:24" x14ac:dyDescent="0.25">
      <c r="A31" s="90"/>
      <c r="B31" s="4">
        <v>28</v>
      </c>
      <c r="C31" s="11" t="s">
        <v>56</v>
      </c>
      <c r="D31" s="6" t="s">
        <v>27</v>
      </c>
      <c r="E31" s="5">
        <v>6000000</v>
      </c>
      <c r="F31" s="5">
        <v>30</v>
      </c>
      <c r="G31" s="5">
        <f t="shared" si="32"/>
        <v>6000000</v>
      </c>
      <c r="H31" s="5"/>
      <c r="I31" s="5"/>
      <c r="J31" s="5"/>
      <c r="K31" s="5">
        <f t="shared" si="0"/>
        <v>6000000</v>
      </c>
      <c r="L31" s="5">
        <f>+K31*4%</f>
        <v>240000</v>
      </c>
      <c r="M31" s="5">
        <f>+K31*5%</f>
        <v>300000</v>
      </c>
      <c r="N31" s="5"/>
      <c r="O31" s="5"/>
      <c r="P31" s="5">
        <v>208000</v>
      </c>
      <c r="Q31" s="5"/>
      <c r="R31" s="5">
        <v>122614</v>
      </c>
      <c r="S31" s="5"/>
      <c r="T31" s="5">
        <f t="shared" si="2"/>
        <v>870614</v>
      </c>
      <c r="U31" s="7">
        <f t="shared" ref="U31:U32" si="33">+K31-T31</f>
        <v>5129386</v>
      </c>
      <c r="V31" s="7"/>
      <c r="W31" s="44"/>
      <c r="X31" s="7">
        <f t="shared" si="4"/>
        <v>5129386</v>
      </c>
    </row>
    <row r="32" spans="1:24" x14ac:dyDescent="0.25">
      <c r="A32" s="90"/>
      <c r="B32" s="4">
        <v>29</v>
      </c>
      <c r="C32" s="11" t="s">
        <v>57</v>
      </c>
      <c r="D32" s="6" t="s">
        <v>27</v>
      </c>
      <c r="E32" s="5">
        <v>4500000</v>
      </c>
      <c r="F32" s="5">
        <v>30</v>
      </c>
      <c r="G32" s="5">
        <f t="shared" si="32"/>
        <v>4500000</v>
      </c>
      <c r="H32" s="5">
        <v>3023437</v>
      </c>
      <c r="I32" s="5">
        <v>500000</v>
      </c>
      <c r="J32" s="5"/>
      <c r="K32" s="5">
        <f t="shared" si="0"/>
        <v>8023437</v>
      </c>
      <c r="L32" s="5">
        <f t="shared" si="1"/>
        <v>180000</v>
      </c>
      <c r="M32" s="5">
        <f t="shared" si="8"/>
        <v>225000</v>
      </c>
      <c r="N32" s="5"/>
      <c r="O32" s="5"/>
      <c r="P32" s="5">
        <v>11000</v>
      </c>
      <c r="Q32" s="5"/>
      <c r="R32" s="5">
        <v>583333</v>
      </c>
      <c r="S32" s="5">
        <v>551399</v>
      </c>
      <c r="T32" s="5">
        <f t="shared" si="2"/>
        <v>1550732</v>
      </c>
      <c r="U32" s="7">
        <f t="shared" si="33"/>
        <v>6472705</v>
      </c>
      <c r="V32" s="7"/>
      <c r="W32" s="44"/>
      <c r="X32" s="7">
        <f t="shared" si="4"/>
        <v>6472705</v>
      </c>
    </row>
    <row r="33" spans="1:26" x14ac:dyDescent="0.25">
      <c r="A33" s="90"/>
      <c r="B33" s="4">
        <v>30</v>
      </c>
      <c r="C33" s="3" t="s">
        <v>58</v>
      </c>
      <c r="D33" s="4" t="s">
        <v>27</v>
      </c>
      <c r="E33" s="5">
        <v>4815000</v>
      </c>
      <c r="F33" s="5">
        <v>30</v>
      </c>
      <c r="G33" s="5">
        <f>+E33-J33</f>
        <v>4815000</v>
      </c>
      <c r="H33" s="5"/>
      <c r="I33" s="5"/>
      <c r="J33" s="5"/>
      <c r="K33" s="5">
        <f t="shared" si="0"/>
        <v>4815000</v>
      </c>
      <c r="L33" s="5">
        <f>+E33*4%</f>
        <v>192600</v>
      </c>
      <c r="M33" s="5">
        <f>+E33*5%</f>
        <v>240750</v>
      </c>
      <c r="N33" s="5"/>
      <c r="O33" s="5"/>
      <c r="P33" s="5">
        <v>34627</v>
      </c>
      <c r="Q33" s="5"/>
      <c r="R33" s="5"/>
      <c r="S33" s="5">
        <v>541379</v>
      </c>
      <c r="T33" s="5">
        <f t="shared" si="2"/>
        <v>1009356</v>
      </c>
      <c r="U33" s="7">
        <f>K33-T33</f>
        <v>3805644</v>
      </c>
      <c r="V33" s="7"/>
      <c r="W33" s="44"/>
      <c r="X33" s="7">
        <f t="shared" si="4"/>
        <v>3805644</v>
      </c>
    </row>
    <row r="34" spans="1:26" ht="24" x14ac:dyDescent="0.25">
      <c r="A34" s="90"/>
      <c r="B34" s="4">
        <v>31</v>
      </c>
      <c r="C34" s="11" t="s">
        <v>59</v>
      </c>
      <c r="D34" s="6" t="s">
        <v>27</v>
      </c>
      <c r="E34" s="5">
        <v>6420000</v>
      </c>
      <c r="F34" s="5">
        <v>30</v>
      </c>
      <c r="G34" s="5">
        <f>+E34-J34</f>
        <v>5220000</v>
      </c>
      <c r="H34" s="5"/>
      <c r="I34" s="5"/>
      <c r="J34" s="5">
        <v>1200000</v>
      </c>
      <c r="K34" s="5">
        <f t="shared" ref="K34:K77" si="34">SUM(G34:I34)+J34</f>
        <v>6420000</v>
      </c>
      <c r="L34" s="5">
        <f>+E34*4%</f>
        <v>256800</v>
      </c>
      <c r="M34" s="5">
        <f>+E34*5%</f>
        <v>321000</v>
      </c>
      <c r="N34" s="5"/>
      <c r="O34" s="5"/>
      <c r="P34" s="5">
        <v>231000</v>
      </c>
      <c r="Q34" s="5"/>
      <c r="R34" s="5"/>
      <c r="S34" s="5"/>
      <c r="T34" s="5">
        <f t="shared" si="2"/>
        <v>808800</v>
      </c>
      <c r="U34" s="7">
        <f>+K34-T34</f>
        <v>5611200</v>
      </c>
      <c r="V34" s="7"/>
      <c r="W34" s="44"/>
      <c r="X34" s="7">
        <f t="shared" si="4"/>
        <v>5611200</v>
      </c>
    </row>
    <row r="35" spans="1:26" x14ac:dyDescent="0.25">
      <c r="A35" s="90"/>
      <c r="B35" s="4">
        <v>32</v>
      </c>
      <c r="C35" s="3" t="s">
        <v>60</v>
      </c>
      <c r="D35" s="4" t="s">
        <v>27</v>
      </c>
      <c r="E35" s="5">
        <v>6900000</v>
      </c>
      <c r="F35" s="5">
        <v>30</v>
      </c>
      <c r="G35" s="5">
        <f t="shared" si="32"/>
        <v>6900000</v>
      </c>
      <c r="H35" s="5"/>
      <c r="I35" s="5">
        <v>1500000</v>
      </c>
      <c r="J35" s="5"/>
      <c r="K35" s="5">
        <f t="shared" si="34"/>
        <v>8400000</v>
      </c>
      <c r="L35" s="5">
        <v>276000</v>
      </c>
      <c r="M35" s="5">
        <v>345000</v>
      </c>
      <c r="N35" s="5"/>
      <c r="O35" s="5"/>
      <c r="P35" s="5">
        <v>345000</v>
      </c>
      <c r="Q35" s="5"/>
      <c r="R35" s="5"/>
      <c r="S35" s="5"/>
      <c r="T35" s="5">
        <f t="shared" si="2"/>
        <v>966000</v>
      </c>
      <c r="U35" s="7">
        <f>K35-T35</f>
        <v>7434000</v>
      </c>
      <c r="V35" s="7"/>
      <c r="W35" s="44"/>
      <c r="X35" s="7">
        <f t="shared" si="4"/>
        <v>7434000</v>
      </c>
    </row>
    <row r="36" spans="1:26" x14ac:dyDescent="0.25">
      <c r="A36" s="90"/>
      <c r="B36" s="4">
        <v>33</v>
      </c>
      <c r="C36" s="3" t="s">
        <v>62</v>
      </c>
      <c r="D36" s="4" t="s">
        <v>27</v>
      </c>
      <c r="E36" s="5">
        <v>5500000</v>
      </c>
      <c r="F36" s="5">
        <v>30</v>
      </c>
      <c r="G36" s="5">
        <f t="shared" si="32"/>
        <v>5500000</v>
      </c>
      <c r="H36" s="5"/>
      <c r="I36" s="5">
        <v>500000</v>
      </c>
      <c r="J36" s="5"/>
      <c r="K36" s="5">
        <f t="shared" ref="K36" si="35">SUM(G36:I36)+J36</f>
        <v>6000000</v>
      </c>
      <c r="L36" s="5">
        <f>+G36*4%</f>
        <v>220000</v>
      </c>
      <c r="M36" s="5">
        <f>+G36*5%</f>
        <v>275000</v>
      </c>
      <c r="N36" s="5"/>
      <c r="O36" s="5"/>
      <c r="P36" s="5">
        <v>144000</v>
      </c>
      <c r="Q36" s="5"/>
      <c r="R36" s="5"/>
      <c r="S36" s="5"/>
      <c r="T36" s="5">
        <f t="shared" ref="T36" si="36">SUM(L36:S36)</f>
        <v>639000</v>
      </c>
      <c r="U36" s="7">
        <f t="shared" ref="U36" si="37">K36-T36</f>
        <v>5361000</v>
      </c>
      <c r="V36" s="7"/>
      <c r="W36" s="44"/>
      <c r="X36" s="7">
        <f t="shared" si="4"/>
        <v>5361000</v>
      </c>
    </row>
    <row r="37" spans="1:26" x14ac:dyDescent="0.25">
      <c r="A37" s="90"/>
      <c r="B37" s="4">
        <v>34</v>
      </c>
      <c r="C37" s="11" t="s">
        <v>63</v>
      </c>
      <c r="D37" s="6" t="s">
        <v>27</v>
      </c>
      <c r="E37" s="5">
        <v>5350000</v>
      </c>
      <c r="F37" s="5">
        <v>30</v>
      </c>
      <c r="G37" s="5">
        <f t="shared" si="32"/>
        <v>5350000</v>
      </c>
      <c r="H37" s="5"/>
      <c r="I37" s="5"/>
      <c r="J37" s="5"/>
      <c r="K37" s="5">
        <f t="shared" si="34"/>
        <v>5350000</v>
      </c>
      <c r="L37" s="5">
        <f>+G37*4%</f>
        <v>214000</v>
      </c>
      <c r="M37" s="5">
        <f>+G37*5%</f>
        <v>267500</v>
      </c>
      <c r="N37" s="5"/>
      <c r="O37" s="5"/>
      <c r="P37" s="5">
        <v>121000</v>
      </c>
      <c r="Q37" s="5"/>
      <c r="R37" s="5"/>
      <c r="S37" s="5"/>
      <c r="T37" s="5">
        <f>SUM(L37:S37)</f>
        <v>602500</v>
      </c>
      <c r="U37" s="7">
        <f t="shared" ref="U37:U43" si="38">+K37-T37</f>
        <v>4747500</v>
      </c>
      <c r="V37" s="7"/>
      <c r="W37" s="44"/>
      <c r="X37" s="7">
        <f t="shared" si="4"/>
        <v>4747500</v>
      </c>
    </row>
    <row r="38" spans="1:26" x14ac:dyDescent="0.25">
      <c r="A38" s="90"/>
      <c r="B38" s="4">
        <v>35</v>
      </c>
      <c r="C38" s="11" t="s">
        <v>149</v>
      </c>
      <c r="D38" s="6"/>
      <c r="E38" s="5">
        <v>4000000</v>
      </c>
      <c r="F38" s="5">
        <v>30</v>
      </c>
      <c r="G38" s="5">
        <f t="shared" si="32"/>
        <v>4000000.0000000005</v>
      </c>
      <c r="H38" s="5"/>
      <c r="I38" s="5"/>
      <c r="J38" s="5"/>
      <c r="K38" s="5">
        <f t="shared" ref="K38" si="39">SUM(G38:I38)+J38</f>
        <v>4000000.0000000005</v>
      </c>
      <c r="L38" s="5">
        <f>+G38*4%</f>
        <v>160000.00000000003</v>
      </c>
      <c r="M38" s="5">
        <f>+G38*5%</f>
        <v>200000.00000000003</v>
      </c>
      <c r="N38" s="5"/>
      <c r="O38" s="5"/>
      <c r="P38" s="5">
        <v>0</v>
      </c>
      <c r="Q38" s="5"/>
      <c r="R38" s="5"/>
      <c r="S38" s="5"/>
      <c r="T38" s="5">
        <f>SUM(L38:S38)</f>
        <v>360000.00000000006</v>
      </c>
      <c r="U38" s="7">
        <f t="shared" si="38"/>
        <v>3640000.0000000005</v>
      </c>
      <c r="V38" s="7"/>
      <c r="W38" s="44"/>
      <c r="X38" s="7">
        <f t="shared" si="4"/>
        <v>3640000.0000000005</v>
      </c>
    </row>
    <row r="39" spans="1:26" x14ac:dyDescent="0.25">
      <c r="A39" s="90"/>
      <c r="B39" s="4">
        <v>36</v>
      </c>
      <c r="C39" s="11" t="s">
        <v>64</v>
      </c>
      <c r="D39" s="6" t="s">
        <v>27</v>
      </c>
      <c r="E39" s="5">
        <v>4500000</v>
      </c>
      <c r="F39" s="5">
        <v>30</v>
      </c>
      <c r="G39" s="5">
        <f t="shared" si="32"/>
        <v>4500000</v>
      </c>
      <c r="H39" s="5"/>
      <c r="I39" s="5"/>
      <c r="J39" s="5">
        <f>+E39-G39</f>
        <v>0</v>
      </c>
      <c r="K39" s="5">
        <f t="shared" si="34"/>
        <v>4500000</v>
      </c>
      <c r="L39" s="5">
        <f>+E39*4%</f>
        <v>180000</v>
      </c>
      <c r="M39" s="5">
        <f>+E39*5%</f>
        <v>225000</v>
      </c>
      <c r="N39" s="5"/>
      <c r="O39" s="5">
        <v>35000</v>
      </c>
      <c r="P39" s="5">
        <v>10000</v>
      </c>
      <c r="Q39" s="5"/>
      <c r="R39" s="5"/>
      <c r="S39" s="5"/>
      <c r="T39" s="5">
        <f>SUM(L39:S39)</f>
        <v>450000</v>
      </c>
      <c r="U39" s="7">
        <f t="shared" si="38"/>
        <v>4050000</v>
      </c>
      <c r="V39" s="7"/>
      <c r="W39" s="44"/>
      <c r="X39" s="7">
        <f t="shared" si="4"/>
        <v>4050000</v>
      </c>
    </row>
    <row r="40" spans="1:26" ht="26.25" customHeight="1" x14ac:dyDescent="0.25">
      <c r="A40" s="90"/>
      <c r="B40" s="4">
        <v>37</v>
      </c>
      <c r="C40" s="11" t="s">
        <v>66</v>
      </c>
      <c r="D40" s="6" t="s">
        <v>27</v>
      </c>
      <c r="E40" s="5">
        <v>4250000</v>
      </c>
      <c r="F40" s="5">
        <v>30</v>
      </c>
      <c r="G40" s="5">
        <f t="shared" si="32"/>
        <v>4250000</v>
      </c>
      <c r="H40" s="5"/>
      <c r="I40" s="5"/>
      <c r="J40" s="5"/>
      <c r="K40" s="5">
        <f t="shared" ref="K40" si="40">SUM(G40:I40)+J40</f>
        <v>4250000</v>
      </c>
      <c r="L40" s="5">
        <f>+G40*4%</f>
        <v>170000</v>
      </c>
      <c r="M40" s="5">
        <f>+G40*5%</f>
        <v>212500</v>
      </c>
      <c r="N40" s="5"/>
      <c r="O40" s="5"/>
      <c r="P40" s="5">
        <v>38000</v>
      </c>
      <c r="Q40" s="5"/>
      <c r="R40" s="5"/>
      <c r="S40" s="5"/>
      <c r="T40" s="5">
        <f t="shared" ref="T40" si="41">SUM(L40:S40)</f>
        <v>420500</v>
      </c>
      <c r="U40" s="7">
        <f t="shared" si="38"/>
        <v>3829500</v>
      </c>
      <c r="V40" s="7"/>
      <c r="W40" s="44"/>
      <c r="X40" s="7">
        <f t="shared" si="4"/>
        <v>3829500</v>
      </c>
    </row>
    <row r="41" spans="1:26" ht="26.25" customHeight="1" x14ac:dyDescent="0.25">
      <c r="A41" s="90"/>
      <c r="B41" s="4">
        <v>38</v>
      </c>
      <c r="C41" s="11" t="s">
        <v>67</v>
      </c>
      <c r="D41" s="6"/>
      <c r="E41" s="5">
        <v>4000000</v>
      </c>
      <c r="F41" s="5">
        <v>30</v>
      </c>
      <c r="G41" s="5">
        <f t="shared" si="32"/>
        <v>4000000.0000000005</v>
      </c>
      <c r="H41" s="5"/>
      <c r="I41" s="5"/>
      <c r="J41" s="5"/>
      <c r="K41" s="5">
        <f t="shared" ref="K41" si="42">SUM(G41:I41)+J41</f>
        <v>4000000.0000000005</v>
      </c>
      <c r="L41" s="5">
        <f>+G41*4%</f>
        <v>160000.00000000003</v>
      </c>
      <c r="M41" s="5">
        <f>+G41*5%</f>
        <v>200000.00000000003</v>
      </c>
      <c r="N41" s="5"/>
      <c r="O41" s="5"/>
      <c r="P41" s="5">
        <v>4500</v>
      </c>
      <c r="Q41" s="5"/>
      <c r="R41" s="5"/>
      <c r="S41" s="5"/>
      <c r="T41" s="5">
        <f t="shared" ref="T41" si="43">SUM(L41:S41)</f>
        <v>364500.00000000006</v>
      </c>
      <c r="U41" s="7">
        <f t="shared" si="38"/>
        <v>3635500.0000000005</v>
      </c>
      <c r="V41" s="7"/>
      <c r="W41" s="44"/>
      <c r="X41" s="7">
        <f t="shared" si="4"/>
        <v>3635500.0000000005</v>
      </c>
    </row>
    <row r="42" spans="1:26" ht="24" x14ac:dyDescent="0.25">
      <c r="A42" s="90"/>
      <c r="B42" s="4">
        <v>39</v>
      </c>
      <c r="C42" s="11" t="s">
        <v>68</v>
      </c>
      <c r="D42" s="6" t="s">
        <v>27</v>
      </c>
      <c r="E42" s="5">
        <v>3000000</v>
      </c>
      <c r="F42" s="5">
        <v>30</v>
      </c>
      <c r="G42" s="5">
        <f t="shared" si="32"/>
        <v>3000000</v>
      </c>
      <c r="H42" s="5"/>
      <c r="I42" s="5" t="s">
        <v>1</v>
      </c>
      <c r="J42" s="5"/>
      <c r="K42" s="5">
        <f t="shared" si="34"/>
        <v>3000000</v>
      </c>
      <c r="L42" s="5">
        <f>+K42*4%</f>
        <v>120000</v>
      </c>
      <c r="M42" s="5">
        <f>+K42*5%</f>
        <v>150000</v>
      </c>
      <c r="N42" s="5">
        <v>15400</v>
      </c>
      <c r="O42" s="5">
        <v>100000</v>
      </c>
      <c r="P42" s="5"/>
      <c r="Q42" s="5"/>
      <c r="R42" s="5"/>
      <c r="S42" s="5"/>
      <c r="T42" s="5">
        <f t="shared" si="2"/>
        <v>385400</v>
      </c>
      <c r="U42" s="7">
        <f t="shared" si="38"/>
        <v>2614600</v>
      </c>
      <c r="V42" s="7"/>
      <c r="W42" s="44"/>
      <c r="X42" s="7">
        <f t="shared" si="4"/>
        <v>2614600</v>
      </c>
    </row>
    <row r="43" spans="1:26" x14ac:dyDescent="0.25">
      <c r="A43" s="90"/>
      <c r="B43" s="4">
        <v>40</v>
      </c>
      <c r="C43" s="11" t="s">
        <v>69</v>
      </c>
      <c r="D43" s="6" t="s">
        <v>27</v>
      </c>
      <c r="E43" s="5">
        <v>5000000</v>
      </c>
      <c r="F43" s="5">
        <v>30</v>
      </c>
      <c r="G43" s="5">
        <f t="shared" si="32"/>
        <v>5000000</v>
      </c>
      <c r="H43" s="5"/>
      <c r="I43" s="5">
        <v>800000</v>
      </c>
      <c r="J43" s="5"/>
      <c r="K43" s="5">
        <f t="shared" si="34"/>
        <v>5800000</v>
      </c>
      <c r="L43" s="5">
        <f>+G43*4%</f>
        <v>200000</v>
      </c>
      <c r="M43" s="5">
        <f>+G43*5%</f>
        <v>250000</v>
      </c>
      <c r="N43" s="5"/>
      <c r="O43" s="5">
        <v>68300</v>
      </c>
      <c r="P43" s="5">
        <v>50000</v>
      </c>
      <c r="Q43" s="5"/>
      <c r="R43" s="5"/>
      <c r="S43" s="5"/>
      <c r="T43" s="5">
        <f t="shared" si="2"/>
        <v>568300</v>
      </c>
      <c r="U43" s="7">
        <f t="shared" si="38"/>
        <v>5231700</v>
      </c>
      <c r="V43" s="7"/>
      <c r="W43" s="44"/>
      <c r="X43" s="7">
        <f t="shared" si="4"/>
        <v>5231700</v>
      </c>
      <c r="Y43" s="7">
        <v>4886979</v>
      </c>
      <c r="Z43" s="55">
        <f>+X43-Y43</f>
        <v>344721</v>
      </c>
    </row>
    <row r="44" spans="1:26" ht="30.75" customHeight="1" x14ac:dyDescent="0.25">
      <c r="A44" s="90"/>
      <c r="B44" s="4">
        <v>41</v>
      </c>
      <c r="C44" s="11" t="s">
        <v>70</v>
      </c>
      <c r="D44" s="6" t="s">
        <v>27</v>
      </c>
      <c r="E44" s="5">
        <v>5152050</v>
      </c>
      <c r="F44" s="5">
        <v>30</v>
      </c>
      <c r="G44" s="5">
        <f>+E44-J44</f>
        <v>5152050</v>
      </c>
      <c r="H44" s="5"/>
      <c r="I44" s="5">
        <v>350000</v>
      </c>
      <c r="J44" s="5"/>
      <c r="K44" s="5">
        <f t="shared" si="34"/>
        <v>5502050</v>
      </c>
      <c r="L44" s="5">
        <f>+G44*4%</f>
        <v>206082</v>
      </c>
      <c r="M44" s="5">
        <f>+G44*5%</f>
        <v>257602.5</v>
      </c>
      <c r="N44" s="5"/>
      <c r="O44" s="5"/>
      <c r="P44" s="5">
        <v>93000</v>
      </c>
      <c r="Q44" s="5"/>
      <c r="R44" s="5"/>
      <c r="S44" s="5"/>
      <c r="T44" s="5">
        <f t="shared" si="2"/>
        <v>556684.5</v>
      </c>
      <c r="U44" s="7">
        <f>K44-T44</f>
        <v>4945365.5</v>
      </c>
      <c r="V44" s="7"/>
      <c r="W44" s="44"/>
      <c r="X44" s="7">
        <f t="shared" si="4"/>
        <v>4945365.5</v>
      </c>
    </row>
    <row r="45" spans="1:26" x14ac:dyDescent="0.25">
      <c r="A45" s="90"/>
      <c r="B45" s="4">
        <v>42</v>
      </c>
      <c r="C45" s="11" t="s">
        <v>71</v>
      </c>
      <c r="D45" s="6" t="s">
        <v>27</v>
      </c>
      <c r="E45" s="5">
        <v>9590321</v>
      </c>
      <c r="F45" s="5">
        <v>30</v>
      </c>
      <c r="G45" s="5">
        <f t="shared" si="32"/>
        <v>9590321</v>
      </c>
      <c r="H45" s="5"/>
      <c r="I45" s="5"/>
      <c r="J45" s="5"/>
      <c r="K45" s="5">
        <f t="shared" si="34"/>
        <v>9590321</v>
      </c>
      <c r="L45" s="5">
        <v>268529</v>
      </c>
      <c r="M45" s="5">
        <v>335661</v>
      </c>
      <c r="N45" s="5"/>
      <c r="O45" s="5"/>
      <c r="P45" s="5">
        <v>205000</v>
      </c>
      <c r="Q45" s="5">
        <v>2500000</v>
      </c>
      <c r="R45" s="5"/>
      <c r="S45" s="5"/>
      <c r="T45" s="5">
        <f t="shared" si="2"/>
        <v>3309190</v>
      </c>
      <c r="U45" s="7">
        <f>K45-T45</f>
        <v>6281131</v>
      </c>
      <c r="V45" s="7"/>
      <c r="W45" s="44"/>
      <c r="X45" s="7">
        <f t="shared" si="4"/>
        <v>6281131</v>
      </c>
    </row>
    <row r="46" spans="1:26" x14ac:dyDescent="0.25">
      <c r="A46" s="91"/>
      <c r="B46" s="4">
        <v>43</v>
      </c>
      <c r="C46" s="11" t="s">
        <v>72</v>
      </c>
      <c r="D46" s="6" t="s">
        <v>27</v>
      </c>
      <c r="E46" s="5">
        <v>4500000</v>
      </c>
      <c r="F46" s="5">
        <v>30</v>
      </c>
      <c r="G46" s="5">
        <f>+E46-J46</f>
        <v>4500000</v>
      </c>
      <c r="H46" s="5"/>
      <c r="I46" s="5"/>
      <c r="J46" s="5"/>
      <c r="K46" s="5">
        <f t="shared" si="34"/>
        <v>4500000</v>
      </c>
      <c r="L46" s="5">
        <v>180000</v>
      </c>
      <c r="M46" s="5">
        <v>225000</v>
      </c>
      <c r="N46" s="5"/>
      <c r="O46" s="5">
        <v>100000</v>
      </c>
      <c r="P46" s="5">
        <v>31000</v>
      </c>
      <c r="Q46" s="5"/>
      <c r="R46" s="5"/>
      <c r="S46" s="5"/>
      <c r="T46" s="5">
        <f t="shared" si="2"/>
        <v>536000</v>
      </c>
      <c r="U46" s="7">
        <f>K46-T46</f>
        <v>3964000</v>
      </c>
      <c r="V46" s="7"/>
      <c r="W46" s="44"/>
      <c r="X46" s="7">
        <f t="shared" si="4"/>
        <v>3964000</v>
      </c>
    </row>
    <row r="47" spans="1:26" x14ac:dyDescent="0.25">
      <c r="A47" s="89" t="s">
        <v>144</v>
      </c>
      <c r="B47" s="4">
        <v>1</v>
      </c>
      <c r="C47" s="11" t="s">
        <v>145</v>
      </c>
      <c r="D47" s="6"/>
      <c r="E47" s="5">
        <v>368858</v>
      </c>
      <c r="F47" s="5">
        <v>30</v>
      </c>
      <c r="G47" s="5">
        <f t="shared" si="32"/>
        <v>368858</v>
      </c>
      <c r="H47" s="5"/>
      <c r="I47" s="5"/>
      <c r="J47" s="5"/>
      <c r="K47" s="5">
        <f t="shared" si="34"/>
        <v>368858</v>
      </c>
      <c r="L47" s="5"/>
      <c r="M47" s="5"/>
      <c r="N47" s="5"/>
      <c r="O47" s="5"/>
      <c r="P47" s="5"/>
      <c r="Q47" s="5"/>
      <c r="R47" s="5"/>
      <c r="S47" s="5"/>
      <c r="T47" s="5"/>
      <c r="U47" s="7">
        <f>K47-T47</f>
        <v>368858</v>
      </c>
      <c r="V47" s="7"/>
      <c r="W47" s="44"/>
      <c r="X47" s="7">
        <f t="shared" si="4"/>
        <v>368858</v>
      </c>
    </row>
    <row r="48" spans="1:26" x14ac:dyDescent="0.25">
      <c r="A48" s="90"/>
      <c r="B48" s="4">
        <v>2</v>
      </c>
      <c r="C48" s="11" t="s">
        <v>73</v>
      </c>
      <c r="D48" s="6" t="s">
        <v>27</v>
      </c>
      <c r="E48" s="5">
        <v>3000000</v>
      </c>
      <c r="F48" s="5">
        <v>30</v>
      </c>
      <c r="G48" s="5">
        <f t="shared" si="32"/>
        <v>3000000</v>
      </c>
      <c r="H48" s="5"/>
      <c r="I48" s="5"/>
      <c r="J48" s="5"/>
      <c r="K48" s="5">
        <f t="shared" si="34"/>
        <v>3000000</v>
      </c>
      <c r="L48" s="5">
        <v>120000</v>
      </c>
      <c r="M48" s="5">
        <v>150000</v>
      </c>
      <c r="N48" s="5"/>
      <c r="O48" s="5">
        <v>100000</v>
      </c>
      <c r="P48" s="5"/>
      <c r="Q48" s="5"/>
      <c r="R48" s="5"/>
      <c r="S48" s="5"/>
      <c r="T48" s="5">
        <f t="shared" si="2"/>
        <v>370000</v>
      </c>
      <c r="U48" s="7">
        <f>K48-T48</f>
        <v>2630000</v>
      </c>
      <c r="V48" s="7"/>
      <c r="W48" s="44"/>
      <c r="X48" s="7">
        <f t="shared" si="4"/>
        <v>2630000</v>
      </c>
    </row>
    <row r="49" spans="1:24" ht="24" customHeight="1" x14ac:dyDescent="0.25">
      <c r="A49" s="90"/>
      <c r="B49" s="4">
        <v>3</v>
      </c>
      <c r="C49" s="11" t="s">
        <v>74</v>
      </c>
      <c r="D49" s="6" t="s">
        <v>27</v>
      </c>
      <c r="E49" s="5">
        <v>4000000</v>
      </c>
      <c r="F49" s="5">
        <v>30</v>
      </c>
      <c r="G49" s="5">
        <f>+E49-J49</f>
        <v>3066667</v>
      </c>
      <c r="H49" s="5"/>
      <c r="I49" s="5"/>
      <c r="J49" s="5">
        <v>933333</v>
      </c>
      <c r="K49" s="5">
        <f t="shared" si="34"/>
        <v>4000000</v>
      </c>
      <c r="L49" s="5">
        <f>+E49*4%</f>
        <v>160000</v>
      </c>
      <c r="M49" s="5">
        <f>+E49*5%</f>
        <v>200000</v>
      </c>
      <c r="N49" s="5"/>
      <c r="O49" s="5"/>
      <c r="P49" s="17">
        <v>3000</v>
      </c>
      <c r="Q49" s="5"/>
      <c r="R49" s="5">
        <v>163485</v>
      </c>
      <c r="S49" s="5"/>
      <c r="T49" s="5">
        <f t="shared" si="2"/>
        <v>526485</v>
      </c>
      <c r="U49" s="7">
        <f>+K49-T49</f>
        <v>3473515</v>
      </c>
      <c r="V49" s="7"/>
      <c r="W49" s="44"/>
      <c r="X49" s="7">
        <f t="shared" si="4"/>
        <v>3473515</v>
      </c>
    </row>
    <row r="50" spans="1:24" ht="25.5" customHeight="1" x14ac:dyDescent="0.25">
      <c r="A50" s="90"/>
      <c r="B50" s="4">
        <v>4</v>
      </c>
      <c r="C50" s="11" t="s">
        <v>75</v>
      </c>
      <c r="D50" s="6" t="s">
        <v>27</v>
      </c>
      <c r="E50" s="5">
        <f>614764+133333</f>
        <v>748097</v>
      </c>
      <c r="F50" s="5">
        <v>30</v>
      </c>
      <c r="G50" s="5">
        <f t="shared" si="32"/>
        <v>748097</v>
      </c>
      <c r="H50" s="5">
        <v>83140</v>
      </c>
      <c r="I50" s="5"/>
      <c r="J50" s="5"/>
      <c r="K50" s="5">
        <f t="shared" si="34"/>
        <v>831237</v>
      </c>
      <c r="L50" s="5">
        <f>+G50*4%</f>
        <v>29923.88</v>
      </c>
      <c r="M50" s="5">
        <f>+G50*4%</f>
        <v>29923.88</v>
      </c>
      <c r="N50" s="5"/>
      <c r="O50" s="5">
        <v>100000</v>
      </c>
      <c r="P50" s="17"/>
      <c r="Q50" s="5"/>
      <c r="R50" s="5"/>
      <c r="S50" s="5"/>
      <c r="T50" s="5">
        <f t="shared" ref="T50" si="44">SUM(L50:S50)</f>
        <v>159847.76</v>
      </c>
      <c r="U50" s="7">
        <f>+K50-T50</f>
        <v>671389.24</v>
      </c>
      <c r="V50" s="7"/>
      <c r="W50" s="44"/>
      <c r="X50" s="7">
        <f t="shared" si="4"/>
        <v>671389.24</v>
      </c>
    </row>
    <row r="51" spans="1:24" x14ac:dyDescent="0.25">
      <c r="A51" s="90"/>
      <c r="B51" s="4">
        <v>5</v>
      </c>
      <c r="C51" s="3" t="s">
        <v>76</v>
      </c>
      <c r="D51" s="4" t="s">
        <v>27</v>
      </c>
      <c r="E51" s="5">
        <v>1600000</v>
      </c>
      <c r="F51" s="5">
        <v>30</v>
      </c>
      <c r="G51" s="5">
        <f t="shared" si="32"/>
        <v>1600000</v>
      </c>
      <c r="H51" s="5"/>
      <c r="I51" s="5"/>
      <c r="J51" s="5"/>
      <c r="K51" s="5">
        <f t="shared" ref="K51" si="45">SUM(G51:I51)+J51</f>
        <v>1600000</v>
      </c>
      <c r="L51" s="5">
        <f>+G51*4%</f>
        <v>64000</v>
      </c>
      <c r="M51" s="5">
        <f>+G51*4%</f>
        <v>64000</v>
      </c>
      <c r="N51" s="5"/>
      <c r="O51" s="5"/>
      <c r="P51" s="5"/>
      <c r="Q51" s="5"/>
      <c r="R51" s="5"/>
      <c r="S51" s="5"/>
      <c r="T51" s="5">
        <f t="shared" si="2"/>
        <v>128000</v>
      </c>
      <c r="U51" s="7">
        <f>K51-T51</f>
        <v>1472000</v>
      </c>
      <c r="V51" s="7"/>
      <c r="W51" s="44"/>
      <c r="X51" s="7">
        <f t="shared" si="4"/>
        <v>1472000</v>
      </c>
    </row>
    <row r="52" spans="1:24" ht="18" customHeight="1" x14ac:dyDescent="0.25">
      <c r="A52" s="90"/>
      <c r="B52" s="4">
        <v>6</v>
      </c>
      <c r="C52" s="11" t="s">
        <v>77</v>
      </c>
      <c r="D52" s="6" t="s">
        <v>27</v>
      </c>
      <c r="E52" s="5">
        <v>737717</v>
      </c>
      <c r="F52" s="5">
        <v>30</v>
      </c>
      <c r="G52" s="5">
        <f t="shared" si="32"/>
        <v>737717</v>
      </c>
      <c r="H52" s="5">
        <f t="shared" ref="H52:H54" si="46">+(83140/30)*F52</f>
        <v>83140</v>
      </c>
      <c r="I52" s="5"/>
      <c r="J52" s="5"/>
      <c r="K52" s="5">
        <f>SUM(G52:I52)+J52</f>
        <v>820857</v>
      </c>
      <c r="L52" s="5">
        <v>29509</v>
      </c>
      <c r="M52" s="5">
        <v>29509</v>
      </c>
      <c r="N52" s="5"/>
      <c r="O52" s="5"/>
      <c r="P52" s="17"/>
      <c r="Q52" s="5"/>
      <c r="R52" s="5"/>
      <c r="S52" s="5"/>
      <c r="T52" s="5">
        <f>+L52+M52</f>
        <v>59018</v>
      </c>
      <c r="U52" s="7">
        <f>+K52-T52</f>
        <v>761839</v>
      </c>
      <c r="V52" s="7"/>
      <c r="W52" s="44"/>
      <c r="X52" s="7">
        <f t="shared" si="4"/>
        <v>761839</v>
      </c>
    </row>
    <row r="53" spans="1:24" x14ac:dyDescent="0.25">
      <c r="A53" s="90"/>
      <c r="B53" s="4">
        <v>7</v>
      </c>
      <c r="C53" s="3" t="s">
        <v>78</v>
      </c>
      <c r="D53" s="4" t="s">
        <v>27</v>
      </c>
      <c r="E53" s="5">
        <v>1200000</v>
      </c>
      <c r="F53" s="5">
        <v>30</v>
      </c>
      <c r="G53" s="5">
        <f t="shared" si="32"/>
        <v>1200000</v>
      </c>
      <c r="H53" s="5">
        <f t="shared" si="46"/>
        <v>83140</v>
      </c>
      <c r="I53" s="5"/>
      <c r="J53" s="5"/>
      <c r="K53" s="5">
        <f t="shared" ref="K53" si="47">SUM(G53:I53)+J53</f>
        <v>1283140</v>
      </c>
      <c r="L53" s="5">
        <f>+G53*4%</f>
        <v>48000</v>
      </c>
      <c r="M53" s="5">
        <v>48000</v>
      </c>
      <c r="N53" s="5"/>
      <c r="O53" s="5"/>
      <c r="P53" s="5"/>
      <c r="Q53" s="5"/>
      <c r="R53" s="5"/>
      <c r="S53" s="5"/>
      <c r="T53" s="5">
        <f t="shared" ref="T53:T104" si="48">SUM(L53:S53)</f>
        <v>96000</v>
      </c>
      <c r="U53" s="7">
        <f>K53-T53</f>
        <v>1187140</v>
      </c>
      <c r="V53" s="7"/>
      <c r="W53" s="44"/>
      <c r="X53" s="7">
        <f t="shared" si="4"/>
        <v>1187140</v>
      </c>
    </row>
    <row r="54" spans="1:24" x14ac:dyDescent="0.25">
      <c r="A54" s="90"/>
      <c r="B54" s="4">
        <v>8</v>
      </c>
      <c r="C54" s="11" t="s">
        <v>80</v>
      </c>
      <c r="D54" s="6" t="s">
        <v>27</v>
      </c>
      <c r="E54" s="5">
        <v>737717</v>
      </c>
      <c r="F54" s="5">
        <v>30</v>
      </c>
      <c r="G54" s="5">
        <f t="shared" si="32"/>
        <v>737717</v>
      </c>
      <c r="H54" s="5">
        <f t="shared" si="46"/>
        <v>83140</v>
      </c>
      <c r="I54" s="5"/>
      <c r="J54" s="5"/>
      <c r="K54" s="5">
        <f t="shared" ref="K54:K55" si="49">SUM(G54:I54)+J54</f>
        <v>820857</v>
      </c>
      <c r="L54" s="5">
        <v>29509</v>
      </c>
      <c r="M54" s="5">
        <v>29509</v>
      </c>
      <c r="N54" s="5">
        <v>55600</v>
      </c>
      <c r="O54" s="5">
        <v>100000</v>
      </c>
      <c r="P54" s="17"/>
      <c r="Q54" s="5"/>
      <c r="R54" s="5"/>
      <c r="S54" s="5"/>
      <c r="T54" s="5">
        <f t="shared" ref="T54:T55" si="50">SUM(L54:S54)</f>
        <v>214618</v>
      </c>
      <c r="U54" s="7">
        <f t="shared" ref="U54:U62" si="51">+K54-T54</f>
        <v>606239</v>
      </c>
      <c r="V54" s="7"/>
      <c r="W54" s="44"/>
      <c r="X54" s="7">
        <f t="shared" si="4"/>
        <v>606239</v>
      </c>
    </row>
    <row r="55" spans="1:24" ht="24" x14ac:dyDescent="0.25">
      <c r="A55" s="90"/>
      <c r="B55" s="4">
        <v>9</v>
      </c>
      <c r="C55" s="11" t="s">
        <v>81</v>
      </c>
      <c r="D55" s="6" t="s">
        <v>27</v>
      </c>
      <c r="E55" s="5">
        <v>1100000</v>
      </c>
      <c r="F55" s="5">
        <v>30</v>
      </c>
      <c r="G55" s="5">
        <f t="shared" si="32"/>
        <v>1100000</v>
      </c>
      <c r="H55" s="5">
        <v>83140</v>
      </c>
      <c r="I55" s="5"/>
      <c r="J55" s="5"/>
      <c r="K55" s="5">
        <f t="shared" si="49"/>
        <v>1183140</v>
      </c>
      <c r="L55" s="5">
        <f t="shared" ref="L55" si="52">+G55*4%</f>
        <v>44000</v>
      </c>
      <c r="M55" s="5">
        <f t="shared" ref="M55" si="53">+G55*4%</f>
        <v>44000</v>
      </c>
      <c r="N55" s="5"/>
      <c r="O55" s="5">
        <v>100000</v>
      </c>
      <c r="P55" s="17"/>
      <c r="Q55" s="5"/>
      <c r="R55" s="5"/>
      <c r="S55" s="5"/>
      <c r="T55" s="5">
        <f t="shared" si="50"/>
        <v>188000</v>
      </c>
      <c r="U55" s="7">
        <f t="shared" si="51"/>
        <v>995140</v>
      </c>
      <c r="V55" s="7"/>
      <c r="W55" s="44"/>
      <c r="X55" s="7">
        <f t="shared" si="4"/>
        <v>995140</v>
      </c>
    </row>
    <row r="56" spans="1:24" ht="21.75" customHeight="1" x14ac:dyDescent="0.25">
      <c r="A56" s="90"/>
      <c r="B56" s="4">
        <v>10</v>
      </c>
      <c r="C56" s="11" t="s">
        <v>82</v>
      </c>
      <c r="D56" s="6" t="s">
        <v>27</v>
      </c>
      <c r="E56" s="5">
        <v>1450000</v>
      </c>
      <c r="F56" s="5">
        <v>30</v>
      </c>
      <c r="G56" s="5">
        <f t="shared" si="32"/>
        <v>1450000</v>
      </c>
      <c r="H56" s="5">
        <f>+(83140/30)*F56</f>
        <v>83140</v>
      </c>
      <c r="I56" s="5"/>
      <c r="J56" s="5"/>
      <c r="K56" s="5">
        <f t="shared" si="34"/>
        <v>1533140</v>
      </c>
      <c r="L56" s="5">
        <f>+G56*4%</f>
        <v>58000</v>
      </c>
      <c r="M56" s="5">
        <f>+G56*4%</f>
        <v>58000</v>
      </c>
      <c r="N56" s="5"/>
      <c r="O56" s="5">
        <v>100000</v>
      </c>
      <c r="P56" s="5">
        <v>0</v>
      </c>
      <c r="Q56" s="5"/>
      <c r="R56" s="5"/>
      <c r="S56" s="5"/>
      <c r="T56" s="5">
        <f t="shared" si="48"/>
        <v>216000</v>
      </c>
      <c r="U56" s="7">
        <f t="shared" si="51"/>
        <v>1317140</v>
      </c>
      <c r="V56" s="7"/>
      <c r="W56" s="44"/>
      <c r="X56" s="7">
        <f t="shared" si="4"/>
        <v>1317140</v>
      </c>
    </row>
    <row r="57" spans="1:24" x14ac:dyDescent="0.25">
      <c r="A57" s="90"/>
      <c r="B57" s="4">
        <v>11</v>
      </c>
      <c r="C57" s="11" t="s">
        <v>83</v>
      </c>
      <c r="D57" s="6" t="s">
        <v>27</v>
      </c>
      <c r="E57" s="5">
        <v>737717</v>
      </c>
      <c r="F57" s="5">
        <v>30</v>
      </c>
      <c r="G57" s="5">
        <f t="shared" si="32"/>
        <v>737717</v>
      </c>
      <c r="H57" s="5">
        <v>83140</v>
      </c>
      <c r="I57" s="5"/>
      <c r="J57" s="5"/>
      <c r="K57" s="5">
        <f t="shared" ref="K57" si="54">SUM(G57:I57)+J57</f>
        <v>820857</v>
      </c>
      <c r="L57" s="5">
        <v>29509</v>
      </c>
      <c r="M57" s="5">
        <v>29509</v>
      </c>
      <c r="N57" s="5"/>
      <c r="O57" s="5"/>
      <c r="P57" s="17"/>
      <c r="Q57" s="5"/>
      <c r="R57" s="5"/>
      <c r="S57" s="5"/>
      <c r="T57" s="5">
        <f t="shared" si="48"/>
        <v>59018</v>
      </c>
      <c r="U57" s="7">
        <f t="shared" si="51"/>
        <v>761839</v>
      </c>
      <c r="V57" s="7"/>
      <c r="W57" s="44"/>
      <c r="X57" s="7">
        <f t="shared" si="4"/>
        <v>761839</v>
      </c>
    </row>
    <row r="58" spans="1:24" ht="17.25" customHeight="1" x14ac:dyDescent="0.25">
      <c r="A58" s="90"/>
      <c r="B58" s="4">
        <v>12</v>
      </c>
      <c r="C58" s="11" t="s">
        <v>84</v>
      </c>
      <c r="D58" s="6" t="s">
        <v>27</v>
      </c>
      <c r="E58" s="5">
        <v>3500000</v>
      </c>
      <c r="F58" s="5">
        <v>30</v>
      </c>
      <c r="G58" s="5">
        <f>+E58-J58</f>
        <v>2683333</v>
      </c>
      <c r="H58" s="5"/>
      <c r="I58" s="5"/>
      <c r="J58" s="5">
        <v>816667</v>
      </c>
      <c r="K58" s="5">
        <f t="shared" ref="K58" si="55">SUM(G58:I58)+J58</f>
        <v>3500000</v>
      </c>
      <c r="L58" s="5">
        <f>+E58*4%</f>
        <v>140000</v>
      </c>
      <c r="M58" s="5">
        <f>+E58*5%</f>
        <v>175000</v>
      </c>
      <c r="N58" s="5"/>
      <c r="O58" s="5"/>
      <c r="P58" s="5">
        <v>0</v>
      </c>
      <c r="Q58" s="5"/>
      <c r="R58" s="5"/>
      <c r="S58" s="5"/>
      <c r="T58" s="5">
        <f t="shared" ref="T58" si="56">SUM(L58:S58)</f>
        <v>315000</v>
      </c>
      <c r="U58" s="7">
        <f t="shared" si="51"/>
        <v>3185000</v>
      </c>
      <c r="V58" s="7"/>
      <c r="W58" s="44"/>
      <c r="X58" s="7">
        <f t="shared" si="4"/>
        <v>3185000</v>
      </c>
    </row>
    <row r="59" spans="1:24" ht="17.25" customHeight="1" x14ac:dyDescent="0.25">
      <c r="A59" s="90"/>
      <c r="B59" s="4">
        <v>13</v>
      </c>
      <c r="C59" s="11" t="s">
        <v>85</v>
      </c>
      <c r="D59" s="6" t="s">
        <v>27</v>
      </c>
      <c r="E59" s="5">
        <v>2500000</v>
      </c>
      <c r="F59" s="5">
        <v>30</v>
      </c>
      <c r="G59" s="5">
        <f t="shared" si="32"/>
        <v>2500000</v>
      </c>
      <c r="H59" s="5">
        <v>39063</v>
      </c>
      <c r="I59" s="5"/>
      <c r="J59" s="5"/>
      <c r="K59" s="5">
        <f t="shared" si="34"/>
        <v>2539063</v>
      </c>
      <c r="L59" s="5">
        <f>+G59*4%</f>
        <v>100000</v>
      </c>
      <c r="M59" s="5">
        <f>+G59*4%</f>
        <v>100000</v>
      </c>
      <c r="N59" s="5"/>
      <c r="O59" s="5"/>
      <c r="P59" s="5">
        <v>0</v>
      </c>
      <c r="Q59" s="5"/>
      <c r="R59" s="5"/>
      <c r="S59" s="5">
        <v>200210</v>
      </c>
      <c r="T59" s="5">
        <f t="shared" si="48"/>
        <v>400210</v>
      </c>
      <c r="U59" s="7">
        <f t="shared" si="51"/>
        <v>2138853</v>
      </c>
      <c r="V59" s="7"/>
      <c r="W59" s="44"/>
      <c r="X59" s="7">
        <f t="shared" si="4"/>
        <v>2138853</v>
      </c>
    </row>
    <row r="60" spans="1:24" ht="17.25" customHeight="1" x14ac:dyDescent="0.25">
      <c r="A60" s="90"/>
      <c r="B60" s="4">
        <v>14</v>
      </c>
      <c r="C60" s="11" t="s">
        <v>86</v>
      </c>
      <c r="D60" s="6" t="s">
        <v>27</v>
      </c>
      <c r="E60" s="5">
        <v>1200000</v>
      </c>
      <c r="F60" s="5">
        <v>30</v>
      </c>
      <c r="G60" s="5">
        <f>E60/30*F60</f>
        <v>1200000</v>
      </c>
      <c r="H60" s="5">
        <f>+(83140/30)*F60</f>
        <v>83140</v>
      </c>
      <c r="I60" s="5"/>
      <c r="J60" s="5">
        <f>+E60-G60</f>
        <v>0</v>
      </c>
      <c r="K60" s="5">
        <f t="shared" ref="K60" si="57">SUM(G60:I60)+J60</f>
        <v>1283140</v>
      </c>
      <c r="L60" s="5">
        <v>48000</v>
      </c>
      <c r="M60" s="5">
        <v>48000</v>
      </c>
      <c r="N60" s="5"/>
      <c r="O60" s="5"/>
      <c r="P60" s="5">
        <v>0</v>
      </c>
      <c r="Q60" s="5"/>
      <c r="R60" s="5"/>
      <c r="S60" s="5"/>
      <c r="T60" s="5">
        <f t="shared" ref="T60:T61" si="58">SUM(L60:S60)</f>
        <v>96000</v>
      </c>
      <c r="U60" s="7">
        <f t="shared" si="51"/>
        <v>1187140</v>
      </c>
      <c r="V60" s="7"/>
      <c r="W60" s="44"/>
      <c r="X60" s="7">
        <f t="shared" si="4"/>
        <v>1187140</v>
      </c>
    </row>
    <row r="61" spans="1:24" ht="17.25" customHeight="1" x14ac:dyDescent="0.25">
      <c r="A61" s="90"/>
      <c r="B61" s="4">
        <v>15</v>
      </c>
      <c r="C61" s="11" t="s">
        <v>87</v>
      </c>
      <c r="D61" s="6" t="s">
        <v>27</v>
      </c>
      <c r="E61" s="5">
        <v>900000</v>
      </c>
      <c r="F61" s="5">
        <v>30</v>
      </c>
      <c r="G61" s="5">
        <f>E61/30*F61</f>
        <v>900000</v>
      </c>
      <c r="H61" s="5">
        <f>+(83140/30)*F61</f>
        <v>83140</v>
      </c>
      <c r="I61" s="5"/>
      <c r="J61" s="5"/>
      <c r="K61" s="5">
        <f t="shared" ref="K61" si="59">SUM(G61:I61)+J61</f>
        <v>983140</v>
      </c>
      <c r="L61" s="5">
        <f>+G61*4%</f>
        <v>36000</v>
      </c>
      <c r="M61" s="5">
        <f t="shared" ref="M61" si="60">+G61*4%</f>
        <v>36000</v>
      </c>
      <c r="N61" s="5"/>
      <c r="O61" s="5"/>
      <c r="P61" s="5">
        <v>0</v>
      </c>
      <c r="Q61" s="5"/>
      <c r="R61" s="5"/>
      <c r="S61" s="5"/>
      <c r="T61" s="5">
        <f t="shared" si="58"/>
        <v>72000</v>
      </c>
      <c r="U61" s="7">
        <f t="shared" si="51"/>
        <v>911140</v>
      </c>
      <c r="V61" s="7"/>
      <c r="W61" s="44"/>
      <c r="X61" s="7">
        <f t="shared" si="4"/>
        <v>911140</v>
      </c>
    </row>
    <row r="62" spans="1:24" ht="24" x14ac:dyDescent="0.25">
      <c r="A62" s="90"/>
      <c r="B62" s="4">
        <v>16</v>
      </c>
      <c r="C62" s="11" t="s">
        <v>88</v>
      </c>
      <c r="D62" s="6" t="s">
        <v>27</v>
      </c>
      <c r="E62" s="5">
        <v>2000000</v>
      </c>
      <c r="F62" s="5">
        <v>30</v>
      </c>
      <c r="G62" s="5">
        <f>E62/30*F62</f>
        <v>2000000.0000000002</v>
      </c>
      <c r="H62" s="5"/>
      <c r="I62" s="5"/>
      <c r="J62" s="5">
        <f>+E62-G62</f>
        <v>0</v>
      </c>
      <c r="K62" s="5">
        <f t="shared" si="34"/>
        <v>2000000.0000000002</v>
      </c>
      <c r="L62" s="5">
        <f>+G62*4%</f>
        <v>80000.000000000015</v>
      </c>
      <c r="M62" s="5">
        <v>80000</v>
      </c>
      <c r="N62" s="5"/>
      <c r="O62" s="5"/>
      <c r="P62" s="5">
        <v>0</v>
      </c>
      <c r="Q62" s="5"/>
      <c r="R62" s="5"/>
      <c r="S62" s="5"/>
      <c r="T62" s="5">
        <f t="shared" si="48"/>
        <v>160000</v>
      </c>
      <c r="U62" s="7">
        <f t="shared" si="51"/>
        <v>1840000.0000000002</v>
      </c>
      <c r="V62" s="7"/>
      <c r="W62" s="44"/>
      <c r="X62" s="7">
        <f t="shared" si="4"/>
        <v>1840000.0000000002</v>
      </c>
    </row>
    <row r="63" spans="1:24" x14ac:dyDescent="0.25">
      <c r="A63" s="90"/>
      <c r="B63" s="4">
        <v>17</v>
      </c>
      <c r="C63" s="3" t="s">
        <v>89</v>
      </c>
      <c r="D63" s="4" t="s">
        <v>27</v>
      </c>
      <c r="E63" s="5">
        <v>3500000</v>
      </c>
      <c r="F63" s="5">
        <v>30</v>
      </c>
      <c r="G63" s="5">
        <f>+E63/30*F63</f>
        <v>3500000</v>
      </c>
      <c r="H63" s="5">
        <v>546875</v>
      </c>
      <c r="I63" s="5"/>
      <c r="J63" s="5"/>
      <c r="K63" s="5">
        <f t="shared" si="34"/>
        <v>4046875</v>
      </c>
      <c r="L63" s="5">
        <v>140000</v>
      </c>
      <c r="M63" s="5">
        <v>175000</v>
      </c>
      <c r="N63" s="5"/>
      <c r="O63" s="5">
        <v>100000</v>
      </c>
      <c r="P63" s="5">
        <v>0</v>
      </c>
      <c r="Q63" s="5"/>
      <c r="R63" s="5"/>
      <c r="S63" s="5"/>
      <c r="T63" s="5">
        <f t="shared" si="48"/>
        <v>415000</v>
      </c>
      <c r="U63" s="7">
        <f t="shared" ref="U63:U73" si="61">K63-T63</f>
        <v>3631875</v>
      </c>
      <c r="V63" s="7"/>
      <c r="W63" s="44"/>
      <c r="X63" s="7">
        <f t="shared" si="4"/>
        <v>3631875</v>
      </c>
    </row>
    <row r="64" spans="1:24" x14ac:dyDescent="0.25">
      <c r="A64" s="90"/>
      <c r="B64" s="4">
        <v>18</v>
      </c>
      <c r="C64" s="11" t="s">
        <v>90</v>
      </c>
      <c r="D64" s="6" t="s">
        <v>27</v>
      </c>
      <c r="E64" s="5">
        <v>4000000</v>
      </c>
      <c r="F64" s="5">
        <v>30</v>
      </c>
      <c r="G64" s="5">
        <f>+E64-J64</f>
        <v>3200000</v>
      </c>
      <c r="H64" s="5">
        <v>1335937</v>
      </c>
      <c r="I64" s="5">
        <v>300000</v>
      </c>
      <c r="J64" s="5">
        <v>800000</v>
      </c>
      <c r="K64" s="5">
        <f t="shared" si="34"/>
        <v>5635937</v>
      </c>
      <c r="L64" s="5">
        <v>160000</v>
      </c>
      <c r="M64" s="5">
        <v>200000</v>
      </c>
      <c r="N64" s="5"/>
      <c r="O64" s="5">
        <v>100000</v>
      </c>
      <c r="P64" s="5">
        <v>3000</v>
      </c>
      <c r="Q64" s="5"/>
      <c r="R64" s="5"/>
      <c r="S64" s="5">
        <v>766228</v>
      </c>
      <c r="T64" s="5">
        <f t="shared" si="48"/>
        <v>1229228</v>
      </c>
      <c r="U64" s="7">
        <f t="shared" si="61"/>
        <v>4406709</v>
      </c>
      <c r="V64" s="7"/>
      <c r="W64" s="44"/>
      <c r="X64" s="7">
        <f t="shared" si="4"/>
        <v>4406709</v>
      </c>
    </row>
    <row r="65" spans="1:27" x14ac:dyDescent="0.25">
      <c r="A65" s="90"/>
      <c r="B65" s="4">
        <v>19</v>
      </c>
      <c r="C65" s="11" t="s">
        <v>91</v>
      </c>
      <c r="D65" s="6" t="s">
        <v>27</v>
      </c>
      <c r="E65" s="5">
        <v>800000</v>
      </c>
      <c r="F65" s="5">
        <v>21</v>
      </c>
      <c r="G65" s="5">
        <f>+E65/30*F65</f>
        <v>560000</v>
      </c>
      <c r="H65" s="5">
        <f>+(83140/30)*F65</f>
        <v>58198</v>
      </c>
      <c r="I65" s="5"/>
      <c r="J65" s="5"/>
      <c r="K65" s="5">
        <f t="shared" si="34"/>
        <v>618198</v>
      </c>
      <c r="L65" s="5">
        <f>+G65*4%</f>
        <v>22400</v>
      </c>
      <c r="M65" s="5">
        <f>+G65*4%</f>
        <v>22400</v>
      </c>
      <c r="N65" s="5"/>
      <c r="O65" s="5">
        <v>12700</v>
      </c>
      <c r="P65" s="5"/>
      <c r="Q65" s="5"/>
      <c r="R65" s="5"/>
      <c r="S65" s="5"/>
      <c r="T65" s="5">
        <f t="shared" si="48"/>
        <v>57500</v>
      </c>
      <c r="U65" s="7">
        <f t="shared" si="61"/>
        <v>560698</v>
      </c>
      <c r="V65" s="7"/>
      <c r="W65" s="44"/>
      <c r="X65" s="7">
        <f t="shared" si="4"/>
        <v>560698</v>
      </c>
    </row>
    <row r="66" spans="1:27" ht="17.25" customHeight="1" x14ac:dyDescent="0.25">
      <c r="A66" s="90"/>
      <c r="B66" s="4">
        <v>20</v>
      </c>
      <c r="C66" s="11" t="s">
        <v>92</v>
      </c>
      <c r="D66" s="6" t="s">
        <v>27</v>
      </c>
      <c r="E66" s="5">
        <v>3500000</v>
      </c>
      <c r="F66" s="5">
        <v>30</v>
      </c>
      <c r="G66" s="5">
        <f>E66/30*F66</f>
        <v>3500000</v>
      </c>
      <c r="H66" s="5">
        <v>679687</v>
      </c>
      <c r="I66" s="5"/>
      <c r="J66" s="5">
        <v>1666670</v>
      </c>
      <c r="K66" s="5">
        <f t="shared" si="34"/>
        <v>5846357</v>
      </c>
      <c r="L66" s="5">
        <v>140000</v>
      </c>
      <c r="M66" s="5">
        <v>175000</v>
      </c>
      <c r="N66" s="5"/>
      <c r="O66" s="5">
        <v>100000</v>
      </c>
      <c r="P66" s="5">
        <v>0</v>
      </c>
      <c r="Q66" s="5"/>
      <c r="R66" s="5"/>
      <c r="S66" s="5"/>
      <c r="T66" s="5">
        <f t="shared" si="48"/>
        <v>415000</v>
      </c>
      <c r="U66" s="7">
        <f t="shared" si="61"/>
        <v>5431357</v>
      </c>
      <c r="V66" s="7"/>
      <c r="W66" s="44"/>
      <c r="X66" s="7">
        <f t="shared" si="4"/>
        <v>5431357</v>
      </c>
    </row>
    <row r="67" spans="1:27" ht="17.25" customHeight="1" x14ac:dyDescent="0.25">
      <c r="A67" s="90"/>
      <c r="B67" s="4">
        <v>21</v>
      </c>
      <c r="C67" s="11" t="s">
        <v>93</v>
      </c>
      <c r="D67" s="6" t="s">
        <v>27</v>
      </c>
      <c r="E67" s="5">
        <v>1200000</v>
      </c>
      <c r="F67" s="5">
        <v>30</v>
      </c>
      <c r="G67" s="5">
        <f>+E67-J67</f>
        <v>920000</v>
      </c>
      <c r="H67" s="5">
        <f>+(83140/30)*F67</f>
        <v>83140</v>
      </c>
      <c r="I67" s="5"/>
      <c r="J67" s="5">
        <v>280000</v>
      </c>
      <c r="K67" s="5">
        <f t="shared" ref="K67:K70" si="62">SUM(G67:I67)+J67</f>
        <v>1283140</v>
      </c>
      <c r="L67" s="5">
        <f>+E67*4%</f>
        <v>48000</v>
      </c>
      <c r="M67" s="5">
        <f>+E67*4%</f>
        <v>48000</v>
      </c>
      <c r="N67" s="5"/>
      <c r="O67" s="5"/>
      <c r="P67" s="5"/>
      <c r="Q67" s="5"/>
      <c r="R67" s="5"/>
      <c r="S67" s="5"/>
      <c r="T67" s="5">
        <f t="shared" ref="T67:T70" si="63">SUM(L67:S67)</f>
        <v>96000</v>
      </c>
      <c r="U67" s="7">
        <f t="shared" si="61"/>
        <v>1187140</v>
      </c>
      <c r="V67" s="7"/>
      <c r="W67" s="44"/>
      <c r="X67" s="7">
        <f t="shared" si="4"/>
        <v>1187140</v>
      </c>
    </row>
    <row r="68" spans="1:27" ht="17.25" customHeight="1" x14ac:dyDescent="0.25">
      <c r="A68" s="90"/>
      <c r="B68" s="4">
        <v>22</v>
      </c>
      <c r="C68" s="11" t="s">
        <v>94</v>
      </c>
      <c r="D68" s="6"/>
      <c r="E68" s="5">
        <v>1030410</v>
      </c>
      <c r="F68" s="5">
        <v>30</v>
      </c>
      <c r="G68" s="5">
        <f>+E68/30*F68</f>
        <v>1030410</v>
      </c>
      <c r="H68" s="5">
        <f>+(83140/30)*F68</f>
        <v>83140</v>
      </c>
      <c r="I68" s="5"/>
      <c r="J68" s="5"/>
      <c r="K68" s="5">
        <f t="shared" ref="K68" si="64">SUM(G68:I68)+J68</f>
        <v>1113550</v>
      </c>
      <c r="L68" s="5">
        <f>+G68*4%</f>
        <v>41216.400000000001</v>
      </c>
      <c r="M68" s="5">
        <f>+G68*4%</f>
        <v>41216.400000000001</v>
      </c>
      <c r="N68" s="5"/>
      <c r="O68" s="5">
        <v>100000</v>
      </c>
      <c r="P68" s="5"/>
      <c r="Q68" s="5"/>
      <c r="R68" s="5"/>
      <c r="S68" s="5"/>
      <c r="T68" s="5">
        <f t="shared" si="63"/>
        <v>182432.8</v>
      </c>
      <c r="U68" s="7">
        <f t="shared" si="61"/>
        <v>931117.2</v>
      </c>
      <c r="V68" s="7"/>
      <c r="W68" s="44"/>
      <c r="X68" s="7">
        <f t="shared" ref="X68:X104" si="65">U68+V68-W68</f>
        <v>931117.2</v>
      </c>
    </row>
    <row r="69" spans="1:27" x14ac:dyDescent="0.25">
      <c r="A69" s="90"/>
      <c r="B69" s="4">
        <v>23</v>
      </c>
      <c r="C69" s="3" t="s">
        <v>96</v>
      </c>
      <c r="D69" s="4"/>
      <c r="E69" s="5">
        <v>4000000</v>
      </c>
      <c r="F69" s="5">
        <v>30</v>
      </c>
      <c r="G69" s="5">
        <f t="shared" ref="G69" si="66">+E69/30*F69</f>
        <v>4000000.0000000005</v>
      </c>
      <c r="H69" s="5"/>
      <c r="I69" s="5"/>
      <c r="J69" s="5"/>
      <c r="K69" s="5">
        <f t="shared" ref="K69" si="67">SUM(G69:I69)+J69</f>
        <v>4000000.0000000005</v>
      </c>
      <c r="L69" s="5">
        <f>+G69*4%</f>
        <v>160000.00000000003</v>
      </c>
      <c r="M69" s="5">
        <f>+G69*5%</f>
        <v>200000.00000000003</v>
      </c>
      <c r="N69" s="5"/>
      <c r="O69" s="5"/>
      <c r="P69" s="5"/>
      <c r="Q69" s="5"/>
      <c r="R69" s="5"/>
      <c r="S69" s="5"/>
      <c r="T69" s="5">
        <f t="shared" ref="T69" si="68">SUM(L69:S69)</f>
        <v>360000.00000000006</v>
      </c>
      <c r="U69" s="7">
        <f t="shared" ref="U69" si="69">+K69-T69</f>
        <v>3640000.0000000005</v>
      </c>
      <c r="V69" s="7"/>
      <c r="W69" s="44"/>
      <c r="X69" s="7">
        <f t="shared" si="65"/>
        <v>3640000.0000000005</v>
      </c>
    </row>
    <row r="70" spans="1:27" ht="17.25" customHeight="1" x14ac:dyDescent="0.25">
      <c r="A70" s="90"/>
      <c r="B70" s="4">
        <v>24</v>
      </c>
      <c r="C70" s="11" t="s">
        <v>97</v>
      </c>
      <c r="D70" s="6" t="s">
        <v>27</v>
      </c>
      <c r="E70" s="5">
        <v>900000</v>
      </c>
      <c r="F70" s="5">
        <v>30</v>
      </c>
      <c r="G70" s="5">
        <f>E70/30*F70</f>
        <v>900000</v>
      </c>
      <c r="H70" s="5">
        <v>83140</v>
      </c>
      <c r="I70" s="5"/>
      <c r="J70" s="5"/>
      <c r="K70" s="5">
        <f t="shared" si="62"/>
        <v>983140</v>
      </c>
      <c r="L70" s="5">
        <f>+G70*4%</f>
        <v>36000</v>
      </c>
      <c r="M70" s="5">
        <f>+G70*4%</f>
        <v>36000</v>
      </c>
      <c r="N70" s="5"/>
      <c r="O70" s="5">
        <v>21900</v>
      </c>
      <c r="P70" s="5"/>
      <c r="Q70" s="5"/>
      <c r="R70" s="5"/>
      <c r="S70" s="5"/>
      <c r="T70" s="5">
        <f t="shared" si="63"/>
        <v>93900</v>
      </c>
      <c r="U70" s="7">
        <f>K70-T70</f>
        <v>889240</v>
      </c>
      <c r="V70" s="7"/>
      <c r="W70" s="44"/>
      <c r="X70" s="7">
        <f t="shared" si="65"/>
        <v>889240</v>
      </c>
    </row>
    <row r="71" spans="1:27" ht="15.75" customHeight="1" x14ac:dyDescent="0.25">
      <c r="A71" s="90"/>
      <c r="B71" s="4">
        <v>25</v>
      </c>
      <c r="C71" s="11" t="s">
        <v>98</v>
      </c>
      <c r="D71" s="6" t="s">
        <v>27</v>
      </c>
      <c r="E71" s="5">
        <v>2000000</v>
      </c>
      <c r="F71" s="5">
        <v>30</v>
      </c>
      <c r="G71" s="5">
        <f>(E71/30*F71)</f>
        <v>2000000.0000000002</v>
      </c>
      <c r="H71" s="5"/>
      <c r="I71" s="5"/>
      <c r="J71" s="5">
        <f>+E71-G71</f>
        <v>0</v>
      </c>
      <c r="K71" s="5">
        <f t="shared" si="34"/>
        <v>2000000.0000000002</v>
      </c>
      <c r="L71" s="5">
        <v>80000</v>
      </c>
      <c r="M71" s="5">
        <v>80000</v>
      </c>
      <c r="N71" s="5"/>
      <c r="O71" s="5"/>
      <c r="P71" s="5">
        <v>0</v>
      </c>
      <c r="Q71" s="5"/>
      <c r="R71" s="5"/>
      <c r="S71" s="5">
        <v>254624</v>
      </c>
      <c r="T71" s="5">
        <f t="shared" si="48"/>
        <v>414624</v>
      </c>
      <c r="U71" s="7">
        <f t="shared" si="61"/>
        <v>1585376.0000000002</v>
      </c>
      <c r="V71" s="7"/>
      <c r="W71" s="44"/>
      <c r="X71" s="7">
        <f t="shared" si="65"/>
        <v>1585376.0000000002</v>
      </c>
      <c r="AA71" s="45">
        <f>1196000+644000</f>
        <v>1840000</v>
      </c>
    </row>
    <row r="72" spans="1:27" ht="15.75" customHeight="1" x14ac:dyDescent="0.25">
      <c r="A72" s="90"/>
      <c r="B72" s="4">
        <v>26</v>
      </c>
      <c r="C72" s="11" t="s">
        <v>99</v>
      </c>
      <c r="D72" s="6" t="s">
        <v>27</v>
      </c>
      <c r="E72" s="5">
        <v>2000000</v>
      </c>
      <c r="F72" s="5">
        <v>30</v>
      </c>
      <c r="G72" s="5">
        <f>+E72-J72</f>
        <v>1455357</v>
      </c>
      <c r="H72" s="5"/>
      <c r="I72" s="5"/>
      <c r="J72" s="5">
        <v>544643</v>
      </c>
      <c r="K72" s="5">
        <f t="shared" ref="K72" si="70">SUM(G72:I72)+J72</f>
        <v>2000000</v>
      </c>
      <c r="L72" s="5">
        <v>80000</v>
      </c>
      <c r="M72" s="5">
        <v>80000</v>
      </c>
      <c r="N72" s="5"/>
      <c r="O72" s="5"/>
      <c r="P72" s="5"/>
      <c r="Q72" s="5"/>
      <c r="R72" s="5"/>
      <c r="S72" s="5"/>
      <c r="T72" s="5">
        <f t="shared" ref="T72" si="71">SUM(L72:S72)</f>
        <v>160000</v>
      </c>
      <c r="U72" s="7">
        <f t="shared" si="61"/>
        <v>1840000</v>
      </c>
      <c r="V72" s="7"/>
      <c r="W72" s="44"/>
      <c r="X72" s="7">
        <f t="shared" si="65"/>
        <v>1840000</v>
      </c>
    </row>
    <row r="73" spans="1:27" x14ac:dyDescent="0.25">
      <c r="A73" s="90"/>
      <c r="B73" s="4">
        <v>27</v>
      </c>
      <c r="C73" s="3" t="s">
        <v>101</v>
      </c>
      <c r="D73" s="4" t="s">
        <v>27</v>
      </c>
      <c r="E73" s="5">
        <v>800000</v>
      </c>
      <c r="F73" s="5">
        <v>21</v>
      </c>
      <c r="G73" s="5">
        <f>(E73/30*F73)</f>
        <v>560000</v>
      </c>
      <c r="H73" s="5">
        <f>+(83140/30)*F73</f>
        <v>58198</v>
      </c>
      <c r="I73" s="5"/>
      <c r="J73" s="5"/>
      <c r="K73" s="5">
        <f t="shared" si="34"/>
        <v>618198</v>
      </c>
      <c r="L73" s="5">
        <f>+G73*4%</f>
        <v>22400</v>
      </c>
      <c r="M73" s="5">
        <f>+G73*4%</f>
        <v>22400</v>
      </c>
      <c r="N73" s="5"/>
      <c r="O73" s="5">
        <v>13600</v>
      </c>
      <c r="P73" s="5"/>
      <c r="Q73" s="5"/>
      <c r="R73" s="5"/>
      <c r="S73" s="5"/>
      <c r="T73" s="5">
        <f t="shared" si="48"/>
        <v>58400</v>
      </c>
      <c r="U73" s="7">
        <f t="shared" si="61"/>
        <v>559798</v>
      </c>
      <c r="V73" s="7"/>
      <c r="W73" s="44"/>
      <c r="X73" s="7">
        <f t="shared" si="65"/>
        <v>559798</v>
      </c>
      <c r="AA73" s="45">
        <f>1840000-1196000</f>
        <v>644000</v>
      </c>
    </row>
    <row r="74" spans="1:27" ht="20.25" customHeight="1" x14ac:dyDescent="0.25">
      <c r="A74" s="90"/>
      <c r="B74" s="4">
        <v>28</v>
      </c>
      <c r="C74" s="11" t="s">
        <v>103</v>
      </c>
      <c r="D74" s="6" t="s">
        <v>27</v>
      </c>
      <c r="E74" s="5">
        <v>3500000</v>
      </c>
      <c r="F74" s="5">
        <v>30</v>
      </c>
      <c r="G74" s="5">
        <f t="shared" ref="G74:G78" si="72">+E74/30*F74</f>
        <v>3500000</v>
      </c>
      <c r="H74" s="5"/>
      <c r="I74" s="5"/>
      <c r="J74" s="5">
        <f>+E74-G74</f>
        <v>0</v>
      </c>
      <c r="K74" s="5">
        <f t="shared" si="34"/>
        <v>3500000</v>
      </c>
      <c r="L74" s="5">
        <v>140000</v>
      </c>
      <c r="M74" s="5">
        <v>175000</v>
      </c>
      <c r="N74" s="5"/>
      <c r="O74" s="5"/>
      <c r="P74" s="5">
        <v>0</v>
      </c>
      <c r="Q74" s="5"/>
      <c r="R74" s="5"/>
      <c r="S74" s="5">
        <v>996534</v>
      </c>
      <c r="T74" s="5">
        <f t="shared" si="48"/>
        <v>1311534</v>
      </c>
      <c r="U74" s="7">
        <f t="shared" ref="U74:U82" si="73">+K74-T74</f>
        <v>2188466</v>
      </c>
      <c r="V74" s="7"/>
      <c r="W74" s="44"/>
      <c r="X74" s="7">
        <f t="shared" si="65"/>
        <v>2188466</v>
      </c>
    </row>
    <row r="75" spans="1:27" x14ac:dyDescent="0.25">
      <c r="A75" s="90"/>
      <c r="B75" s="4">
        <v>29</v>
      </c>
      <c r="C75" s="11" t="s">
        <v>105</v>
      </c>
      <c r="D75" s="6" t="s">
        <v>27</v>
      </c>
      <c r="E75" s="5">
        <v>4000000</v>
      </c>
      <c r="F75" s="5">
        <v>30</v>
      </c>
      <c r="G75" s="5">
        <f t="shared" si="72"/>
        <v>4000000.0000000005</v>
      </c>
      <c r="H75" s="5"/>
      <c r="I75" s="5"/>
      <c r="J75" s="5"/>
      <c r="K75" s="5">
        <f t="shared" si="34"/>
        <v>4000000.0000000005</v>
      </c>
      <c r="L75" s="5">
        <v>160000</v>
      </c>
      <c r="M75" s="5">
        <v>200000</v>
      </c>
      <c r="N75" s="5"/>
      <c r="O75" s="5"/>
      <c r="P75" s="5">
        <v>3000</v>
      </c>
      <c r="Q75" s="5"/>
      <c r="R75" s="5"/>
      <c r="S75" s="5"/>
      <c r="T75" s="5">
        <f t="shared" si="48"/>
        <v>363000</v>
      </c>
      <c r="U75" s="7">
        <f t="shared" si="73"/>
        <v>3637000.0000000005</v>
      </c>
      <c r="V75" s="7"/>
      <c r="W75" s="44"/>
      <c r="X75" s="7">
        <f t="shared" si="65"/>
        <v>3637000.0000000005</v>
      </c>
      <c r="Y75" s="45" t="s">
        <v>106</v>
      </c>
    </row>
    <row r="76" spans="1:27" x14ac:dyDescent="0.25">
      <c r="A76" s="90"/>
      <c r="B76" s="4">
        <v>30</v>
      </c>
      <c r="C76" s="11" t="s">
        <v>107</v>
      </c>
      <c r="D76" s="6" t="s">
        <v>27</v>
      </c>
      <c r="E76" s="5">
        <v>900000</v>
      </c>
      <c r="F76" s="5">
        <v>30</v>
      </c>
      <c r="G76" s="5">
        <f>+E76/30*F76</f>
        <v>900000</v>
      </c>
      <c r="H76" s="5">
        <f>+(83140/30)*F76</f>
        <v>83140</v>
      </c>
      <c r="I76" s="5"/>
      <c r="J76" s="5"/>
      <c r="K76" s="5">
        <f t="shared" ref="K76" si="74">SUM(G76:I76)+J76</f>
        <v>983140</v>
      </c>
      <c r="L76" s="5">
        <f>+G76*4%</f>
        <v>36000</v>
      </c>
      <c r="M76" s="5">
        <f>+G76*4%</f>
        <v>36000</v>
      </c>
      <c r="N76" s="5"/>
      <c r="O76" s="5">
        <v>100000</v>
      </c>
      <c r="P76" s="5">
        <v>0</v>
      </c>
      <c r="Q76" s="5"/>
      <c r="R76" s="5"/>
      <c r="S76" s="5"/>
      <c r="T76" s="5">
        <f t="shared" ref="T76" si="75">SUM(L76:S76)</f>
        <v>172000</v>
      </c>
      <c r="U76" s="7">
        <f t="shared" si="73"/>
        <v>811140</v>
      </c>
      <c r="V76" s="7"/>
      <c r="W76" s="44"/>
      <c r="X76" s="7">
        <f t="shared" si="65"/>
        <v>811140</v>
      </c>
      <c r="Y76" s="45" t="s">
        <v>106</v>
      </c>
    </row>
    <row r="77" spans="1:27" x14ac:dyDescent="0.25">
      <c r="A77" s="90"/>
      <c r="B77" s="4">
        <v>31</v>
      </c>
      <c r="C77" s="11" t="s">
        <v>108</v>
      </c>
      <c r="D77" s="6" t="s">
        <v>27</v>
      </c>
      <c r="E77" s="5">
        <v>3000000</v>
      </c>
      <c r="F77" s="5">
        <v>30</v>
      </c>
      <c r="G77" s="5">
        <f t="shared" si="72"/>
        <v>3000000</v>
      </c>
      <c r="H77" s="5"/>
      <c r="I77" s="5"/>
      <c r="J77" s="5"/>
      <c r="K77" s="5">
        <f t="shared" si="34"/>
        <v>3000000</v>
      </c>
      <c r="L77" s="5">
        <f>+E77*4%</f>
        <v>120000</v>
      </c>
      <c r="M77" s="5">
        <f>+E77*5%</f>
        <v>150000</v>
      </c>
      <c r="N77" s="5"/>
      <c r="O77" s="5"/>
      <c r="P77" s="17">
        <v>0</v>
      </c>
      <c r="Q77" s="5"/>
      <c r="R77" s="5"/>
      <c r="S77" s="5">
        <v>586000</v>
      </c>
      <c r="T77" s="5">
        <f t="shared" si="48"/>
        <v>856000</v>
      </c>
      <c r="U77" s="7">
        <f t="shared" si="73"/>
        <v>2144000</v>
      </c>
      <c r="V77" s="7"/>
      <c r="W77" s="44"/>
      <c r="X77" s="7">
        <f t="shared" si="65"/>
        <v>2144000</v>
      </c>
    </row>
    <row r="78" spans="1:27" x14ac:dyDescent="0.25">
      <c r="A78" s="90"/>
      <c r="B78" s="4">
        <v>32</v>
      </c>
      <c r="C78" s="11" t="s">
        <v>109</v>
      </c>
      <c r="D78" s="6"/>
      <c r="E78" s="5">
        <v>4500000</v>
      </c>
      <c r="F78" s="5">
        <v>30</v>
      </c>
      <c r="G78" s="5">
        <f t="shared" si="72"/>
        <v>4500000</v>
      </c>
      <c r="H78" s="5"/>
      <c r="I78" s="5"/>
      <c r="J78" s="5"/>
      <c r="K78" s="5">
        <f t="shared" ref="K78" si="76">SUM(G78:I78)+J78</f>
        <v>4500000</v>
      </c>
      <c r="L78" s="5">
        <f>+G78*4%</f>
        <v>180000</v>
      </c>
      <c r="M78" s="5">
        <f>+G78*5%</f>
        <v>225000</v>
      </c>
      <c r="N78" s="5"/>
      <c r="O78" s="5">
        <v>100000</v>
      </c>
      <c r="P78" s="17">
        <v>72000</v>
      </c>
      <c r="Q78" s="5"/>
      <c r="R78" s="5"/>
      <c r="S78" s="5"/>
      <c r="T78" s="5">
        <f t="shared" ref="T78:T79" si="77">SUM(L78:S78)</f>
        <v>577000</v>
      </c>
      <c r="U78" s="7">
        <f t="shared" si="73"/>
        <v>3923000</v>
      </c>
      <c r="V78" s="7"/>
      <c r="W78" s="44"/>
      <c r="X78" s="7">
        <f t="shared" si="65"/>
        <v>3923000</v>
      </c>
    </row>
    <row r="79" spans="1:27" ht="24" x14ac:dyDescent="0.25">
      <c r="A79" s="90"/>
      <c r="B79" s="4">
        <v>33</v>
      </c>
      <c r="C79" s="11" t="s">
        <v>110</v>
      </c>
      <c r="D79" s="6" t="s">
        <v>27</v>
      </c>
      <c r="E79" s="5">
        <v>900000</v>
      </c>
      <c r="F79" s="5">
        <v>30</v>
      </c>
      <c r="G79" s="5">
        <f>+E79/30*F79</f>
        <v>900000</v>
      </c>
      <c r="H79" s="5">
        <f>+(83140/30)*F79</f>
        <v>83140</v>
      </c>
      <c r="I79" s="5"/>
      <c r="J79" s="5"/>
      <c r="K79" s="5">
        <f t="shared" ref="K79" si="78">SUM(G79:I79)+J79</f>
        <v>983140</v>
      </c>
      <c r="L79" s="5">
        <f>+G79*4%</f>
        <v>36000</v>
      </c>
      <c r="M79" s="5">
        <f>+G79*4%</f>
        <v>36000</v>
      </c>
      <c r="N79" s="5"/>
      <c r="O79" s="5">
        <v>100000</v>
      </c>
      <c r="P79" s="17">
        <v>0</v>
      </c>
      <c r="Q79" s="5"/>
      <c r="R79" s="5"/>
      <c r="S79" s="5"/>
      <c r="T79" s="5">
        <f t="shared" si="77"/>
        <v>172000</v>
      </c>
      <c r="U79" s="7">
        <f t="shared" si="73"/>
        <v>811140</v>
      </c>
      <c r="V79" s="7"/>
      <c r="W79" s="44"/>
      <c r="X79" s="7">
        <f t="shared" si="65"/>
        <v>811140</v>
      </c>
    </row>
    <row r="80" spans="1:27" x14ac:dyDescent="0.25">
      <c r="A80" s="90"/>
      <c r="B80" s="4">
        <v>34</v>
      </c>
      <c r="C80" s="11" t="s">
        <v>150</v>
      </c>
      <c r="D80" s="6"/>
      <c r="E80" s="5">
        <v>2000000</v>
      </c>
      <c r="F80" s="5">
        <v>30</v>
      </c>
      <c r="G80" s="5">
        <f>+E80/30*F80</f>
        <v>2000000.0000000002</v>
      </c>
      <c r="H80" s="5"/>
      <c r="I80" s="5"/>
      <c r="J80" s="5"/>
      <c r="K80" s="5">
        <f t="shared" ref="K80" si="79">SUM(G80:I80)+J80</f>
        <v>2000000.0000000002</v>
      </c>
      <c r="L80" s="5">
        <f>+G80*4%</f>
        <v>80000.000000000015</v>
      </c>
      <c r="M80" s="5">
        <f>+G80*4%</f>
        <v>80000.000000000015</v>
      </c>
      <c r="N80" s="5"/>
      <c r="O80" s="5">
        <v>19600</v>
      </c>
      <c r="P80" s="5">
        <v>0</v>
      </c>
      <c r="Q80" s="5"/>
      <c r="R80" s="5"/>
      <c r="S80" s="5"/>
      <c r="T80" s="5">
        <f t="shared" ref="T80" si="80">SUM(L80:S80)</f>
        <v>179600.00000000003</v>
      </c>
      <c r="U80" s="7">
        <f t="shared" si="73"/>
        <v>1820400.0000000002</v>
      </c>
      <c r="V80" s="7"/>
      <c r="W80" s="44"/>
      <c r="X80" s="7">
        <f t="shared" si="65"/>
        <v>1820400.0000000002</v>
      </c>
    </row>
    <row r="81" spans="1:24" x14ac:dyDescent="0.25">
      <c r="A81" s="90"/>
      <c r="B81" s="4">
        <v>35</v>
      </c>
      <c r="C81" s="11" t="s">
        <v>111</v>
      </c>
      <c r="D81" s="6" t="s">
        <v>27</v>
      </c>
      <c r="E81" s="5">
        <v>2500000</v>
      </c>
      <c r="F81" s="5">
        <v>30</v>
      </c>
      <c r="G81" s="5">
        <f>+E81-J81</f>
        <v>2000000</v>
      </c>
      <c r="H81" s="5"/>
      <c r="I81" s="5"/>
      <c r="J81" s="5">
        <v>500000</v>
      </c>
      <c r="K81" s="5">
        <f t="shared" ref="K81:K102" si="81">SUM(G81:I81)+J81</f>
        <v>2500000</v>
      </c>
      <c r="L81" s="5">
        <v>100000</v>
      </c>
      <c r="M81" s="5">
        <v>100000</v>
      </c>
      <c r="N81" s="5">
        <v>41300</v>
      </c>
      <c r="O81" s="5">
        <v>100000</v>
      </c>
      <c r="P81" s="5">
        <v>0</v>
      </c>
      <c r="Q81" s="5"/>
      <c r="R81" s="5"/>
      <c r="S81" s="5">
        <v>257196</v>
      </c>
      <c r="T81" s="5">
        <f t="shared" si="48"/>
        <v>598496</v>
      </c>
      <c r="U81" s="7">
        <f t="shared" si="73"/>
        <v>1901504</v>
      </c>
      <c r="V81" s="7"/>
      <c r="W81" s="44"/>
      <c r="X81" s="7">
        <f t="shared" si="65"/>
        <v>1901504</v>
      </c>
    </row>
    <row r="82" spans="1:24" x14ac:dyDescent="0.25">
      <c r="A82" s="90"/>
      <c r="B82" s="4">
        <v>36</v>
      </c>
      <c r="C82" s="11" t="s">
        <v>112</v>
      </c>
      <c r="D82" s="6" t="s">
        <v>27</v>
      </c>
      <c r="E82" s="5">
        <v>4500000</v>
      </c>
      <c r="F82" s="5">
        <v>30</v>
      </c>
      <c r="G82" s="5">
        <f>+E82/30*F82</f>
        <v>4500000</v>
      </c>
      <c r="H82" s="5"/>
      <c r="I82" s="5"/>
      <c r="J82" s="5"/>
      <c r="K82" s="5">
        <f t="shared" ref="K82" si="82">SUM(G82:I82)+J82</f>
        <v>4500000</v>
      </c>
      <c r="L82" s="5">
        <v>180000</v>
      </c>
      <c r="M82" s="5">
        <v>225000</v>
      </c>
      <c r="N82" s="5"/>
      <c r="O82" s="5">
        <v>100000</v>
      </c>
      <c r="P82" s="5">
        <v>72000</v>
      </c>
      <c r="Q82" s="5"/>
      <c r="R82" s="5"/>
      <c r="S82" s="5"/>
      <c r="T82" s="5">
        <f t="shared" ref="T82" si="83">SUM(L82:S82)</f>
        <v>577000</v>
      </c>
      <c r="U82" s="7">
        <f t="shared" si="73"/>
        <v>3923000</v>
      </c>
      <c r="V82" s="7"/>
      <c r="W82" s="44"/>
      <c r="X82" s="7">
        <f t="shared" si="65"/>
        <v>3923000</v>
      </c>
    </row>
    <row r="83" spans="1:24" x14ac:dyDescent="0.25">
      <c r="A83" s="90"/>
      <c r="B83" s="4">
        <v>37</v>
      </c>
      <c r="C83" s="11" t="s">
        <v>113</v>
      </c>
      <c r="D83" s="6" t="s">
        <v>27</v>
      </c>
      <c r="E83" s="5">
        <v>4500000</v>
      </c>
      <c r="F83" s="5">
        <v>30</v>
      </c>
      <c r="G83" s="5">
        <f>+E83/30*F83</f>
        <v>4500000</v>
      </c>
      <c r="H83" s="5"/>
      <c r="I83" s="5"/>
      <c r="J83" s="5"/>
      <c r="K83" s="5">
        <f t="shared" si="81"/>
        <v>4500000</v>
      </c>
      <c r="L83" s="5">
        <v>180000</v>
      </c>
      <c r="M83" s="5">
        <v>225000</v>
      </c>
      <c r="N83" s="5"/>
      <c r="O83" s="5">
        <v>100000</v>
      </c>
      <c r="P83" s="5">
        <v>73073</v>
      </c>
      <c r="Q83" s="5"/>
      <c r="R83" s="5"/>
      <c r="S83" s="5"/>
      <c r="T83" s="5">
        <f>SUM(L83:S83)</f>
        <v>578073</v>
      </c>
      <c r="U83" s="7">
        <f t="shared" ref="U83:U88" si="84">K83-T83</f>
        <v>3921927</v>
      </c>
      <c r="V83" s="7"/>
      <c r="W83" s="44"/>
      <c r="X83" s="7">
        <f t="shared" si="65"/>
        <v>3921927</v>
      </c>
    </row>
    <row r="84" spans="1:24" x14ac:dyDescent="0.25">
      <c r="A84" s="90"/>
      <c r="B84" s="4">
        <v>38</v>
      </c>
      <c r="C84" s="11" t="s">
        <v>114</v>
      </c>
      <c r="D84" s="6" t="s">
        <v>27</v>
      </c>
      <c r="E84" s="5">
        <v>2500000</v>
      </c>
      <c r="F84" s="5">
        <v>30</v>
      </c>
      <c r="G84" s="5">
        <f t="shared" ref="G84" si="85">+E84/30*F84</f>
        <v>2500000</v>
      </c>
      <c r="H84" s="5"/>
      <c r="I84" s="5">
        <v>500000</v>
      </c>
      <c r="J84" s="5">
        <f>+E84-G84</f>
        <v>0</v>
      </c>
      <c r="K84" s="5">
        <f t="shared" si="81"/>
        <v>3000000</v>
      </c>
      <c r="L84" s="5">
        <v>100000</v>
      </c>
      <c r="M84" s="5">
        <v>100000</v>
      </c>
      <c r="N84" s="5"/>
      <c r="O84" s="5">
        <v>100000</v>
      </c>
      <c r="P84" s="5">
        <v>0</v>
      </c>
      <c r="Q84" s="5"/>
      <c r="R84" s="5"/>
      <c r="S84" s="5"/>
      <c r="T84" s="5">
        <f t="shared" si="48"/>
        <v>300000</v>
      </c>
      <c r="U84" s="7">
        <f t="shared" si="84"/>
        <v>2700000</v>
      </c>
      <c r="V84" s="7"/>
      <c r="W84" s="44"/>
      <c r="X84" s="7">
        <f t="shared" si="65"/>
        <v>2700000</v>
      </c>
    </row>
    <row r="85" spans="1:24" x14ac:dyDescent="0.25">
      <c r="A85" s="90"/>
      <c r="B85" s="4">
        <v>39</v>
      </c>
      <c r="C85" s="11" t="s">
        <v>116</v>
      </c>
      <c r="D85" s="6" t="s">
        <v>27</v>
      </c>
      <c r="E85" s="5">
        <v>900000</v>
      </c>
      <c r="F85" s="5">
        <v>30</v>
      </c>
      <c r="G85" s="5">
        <f>+E85/30*F85</f>
        <v>900000</v>
      </c>
      <c r="H85" s="5">
        <f>+(83140/30)*F85</f>
        <v>83140</v>
      </c>
      <c r="I85" s="5"/>
      <c r="J85" s="5"/>
      <c r="K85" s="5">
        <f t="shared" ref="K85" si="86">SUM(G85:I85)+J85</f>
        <v>983140</v>
      </c>
      <c r="L85" s="5">
        <f>+G85*4%</f>
        <v>36000</v>
      </c>
      <c r="M85" s="5">
        <f>+G85*4%</f>
        <v>36000</v>
      </c>
      <c r="N85" s="5"/>
      <c r="O85" s="5">
        <v>100000</v>
      </c>
      <c r="P85" s="5"/>
      <c r="Q85" s="5"/>
      <c r="R85" s="5"/>
      <c r="S85" s="5"/>
      <c r="T85" s="5">
        <f t="shared" ref="T85" si="87">SUM(L85:S85)</f>
        <v>172000</v>
      </c>
      <c r="U85" s="7">
        <f t="shared" si="84"/>
        <v>811140</v>
      </c>
      <c r="V85" s="7"/>
      <c r="W85" s="44"/>
      <c r="X85" s="7">
        <f t="shared" si="65"/>
        <v>811140</v>
      </c>
    </row>
    <row r="86" spans="1:24" ht="23.25" customHeight="1" x14ac:dyDescent="0.25">
      <c r="A86" s="90"/>
      <c r="B86" s="4">
        <v>40</v>
      </c>
      <c r="C86" s="3" t="s">
        <v>117</v>
      </c>
      <c r="D86" s="4" t="s">
        <v>27</v>
      </c>
      <c r="E86" s="5">
        <v>737717</v>
      </c>
      <c r="F86" s="5">
        <v>30</v>
      </c>
      <c r="G86" s="5">
        <f>+E86/30*F86</f>
        <v>737717</v>
      </c>
      <c r="H86" s="5">
        <v>83139</v>
      </c>
      <c r="I86" s="5">
        <v>48992</v>
      </c>
      <c r="J86" s="5"/>
      <c r="K86" s="5">
        <f t="shared" si="81"/>
        <v>869848</v>
      </c>
      <c r="L86" s="5">
        <v>29509</v>
      </c>
      <c r="M86" s="5">
        <v>29509</v>
      </c>
      <c r="N86" s="5"/>
      <c r="O86" s="5"/>
      <c r="P86" s="5">
        <v>0</v>
      </c>
      <c r="Q86" s="5"/>
      <c r="R86" s="5"/>
      <c r="S86" s="5"/>
      <c r="T86" s="5">
        <f t="shared" si="48"/>
        <v>59018</v>
      </c>
      <c r="U86" s="7">
        <f t="shared" si="84"/>
        <v>810830</v>
      </c>
      <c r="V86" s="7"/>
      <c r="W86" s="44"/>
      <c r="X86" s="7">
        <f t="shared" si="65"/>
        <v>810830</v>
      </c>
    </row>
    <row r="87" spans="1:24" x14ac:dyDescent="0.25">
      <c r="A87" s="90"/>
      <c r="B87" s="4">
        <v>41</v>
      </c>
      <c r="C87" s="3" t="s">
        <v>118</v>
      </c>
      <c r="D87" s="4"/>
      <c r="E87" s="5">
        <v>5000000</v>
      </c>
      <c r="F87" s="5">
        <v>30</v>
      </c>
      <c r="G87" s="5">
        <f>+E87/30*F87</f>
        <v>5000000</v>
      </c>
      <c r="H87" s="5"/>
      <c r="I87" s="5"/>
      <c r="J87" s="5"/>
      <c r="K87" s="5">
        <f t="shared" ref="K87" si="88">SUM(G87:I87)+J87</f>
        <v>5000000</v>
      </c>
      <c r="L87" s="5">
        <f>+G87*4%</f>
        <v>200000</v>
      </c>
      <c r="M87" s="5">
        <f>+G87*5%</f>
        <v>250000</v>
      </c>
      <c r="N87" s="5"/>
      <c r="O87" s="5"/>
      <c r="P87" s="5">
        <v>102000</v>
      </c>
      <c r="Q87" s="5"/>
      <c r="R87" s="5"/>
      <c r="S87" s="5"/>
      <c r="T87" s="5">
        <f t="shared" ref="T87" si="89">SUM(L87:S87)</f>
        <v>552000</v>
      </c>
      <c r="U87" s="7">
        <f t="shared" si="84"/>
        <v>4448000</v>
      </c>
      <c r="V87" s="7"/>
      <c r="W87" s="44"/>
      <c r="X87" s="7">
        <f t="shared" si="65"/>
        <v>4448000</v>
      </c>
    </row>
    <row r="88" spans="1:24" x14ac:dyDescent="0.25">
      <c r="A88" s="90"/>
      <c r="B88" s="4">
        <v>42</v>
      </c>
      <c r="C88" s="3" t="s">
        <v>119</v>
      </c>
      <c r="D88" s="4" t="s">
        <v>27</v>
      </c>
      <c r="E88" s="5">
        <v>1400000</v>
      </c>
      <c r="F88" s="5">
        <v>30</v>
      </c>
      <c r="G88" s="5">
        <f>+E88-J88</f>
        <v>1073333</v>
      </c>
      <c r="H88" s="5">
        <f>+(83140/30)*F88</f>
        <v>83140</v>
      </c>
      <c r="I88" s="5"/>
      <c r="J88" s="5">
        <v>326667</v>
      </c>
      <c r="K88" s="5">
        <f t="shared" ref="K88" si="90">SUM(G88:I88)+J88</f>
        <v>1483140</v>
      </c>
      <c r="L88" s="5">
        <f>+E88*4%</f>
        <v>56000</v>
      </c>
      <c r="M88" s="5">
        <f>+E88*4%</f>
        <v>56000</v>
      </c>
      <c r="N88" s="5"/>
      <c r="O88" s="5">
        <v>100000</v>
      </c>
      <c r="P88" s="5">
        <v>0</v>
      </c>
      <c r="Q88" s="5"/>
      <c r="R88" s="5"/>
      <c r="S88" s="5"/>
      <c r="T88" s="5">
        <f t="shared" ref="T88" si="91">SUM(L88:S88)</f>
        <v>212000</v>
      </c>
      <c r="U88" s="7">
        <f t="shared" si="84"/>
        <v>1271140</v>
      </c>
      <c r="V88" s="7"/>
      <c r="W88" s="44"/>
      <c r="X88" s="7">
        <f t="shared" si="65"/>
        <v>1271140</v>
      </c>
    </row>
    <row r="89" spans="1:24" x14ac:dyDescent="0.25">
      <c r="A89" s="90"/>
      <c r="B89" s="4">
        <v>43</v>
      </c>
      <c r="C89" s="11" t="s">
        <v>120</v>
      </c>
      <c r="D89" s="6" t="s">
        <v>27</v>
      </c>
      <c r="E89" s="5">
        <v>15400000</v>
      </c>
      <c r="F89" s="5">
        <v>30</v>
      </c>
      <c r="G89" s="5">
        <f t="shared" ref="G89:G95" si="92">+E89/30*F89</f>
        <v>15400000</v>
      </c>
      <c r="H89" s="5"/>
      <c r="I89" s="5">
        <v>600000</v>
      </c>
      <c r="J89" s="5"/>
      <c r="K89" s="5">
        <f t="shared" si="81"/>
        <v>16000000</v>
      </c>
      <c r="L89" s="5">
        <v>616000</v>
      </c>
      <c r="M89" s="5">
        <f>616000+308000</f>
        <v>924000</v>
      </c>
      <c r="N89" s="5">
        <v>102400</v>
      </c>
      <c r="O89" s="5"/>
      <c r="P89" s="5">
        <v>916000</v>
      </c>
      <c r="Q89" s="5">
        <v>5000000</v>
      </c>
      <c r="R89" s="5">
        <v>180180</v>
      </c>
      <c r="S89" s="5">
        <v>2314715</v>
      </c>
      <c r="T89" s="5">
        <f t="shared" si="48"/>
        <v>10053295</v>
      </c>
      <c r="U89" s="7">
        <f>+K89-T89</f>
        <v>5946705</v>
      </c>
      <c r="V89" s="7"/>
      <c r="W89" s="44"/>
      <c r="X89" s="7">
        <f t="shared" si="65"/>
        <v>5946705</v>
      </c>
    </row>
    <row r="90" spans="1:24" x14ac:dyDescent="0.25">
      <c r="A90" s="90"/>
      <c r="B90" s="4">
        <v>44</v>
      </c>
      <c r="C90" s="11" t="s">
        <v>121</v>
      </c>
      <c r="D90" s="6" t="s">
        <v>27</v>
      </c>
      <c r="E90" s="5">
        <v>4500000</v>
      </c>
      <c r="F90" s="5">
        <v>30</v>
      </c>
      <c r="G90" s="5">
        <f t="shared" si="92"/>
        <v>4500000</v>
      </c>
      <c r="H90" s="5"/>
      <c r="I90" s="5">
        <v>2000000</v>
      </c>
      <c r="J90" s="5"/>
      <c r="K90" s="5">
        <f t="shared" si="81"/>
        <v>6500000</v>
      </c>
      <c r="L90" s="5">
        <f t="shared" ref="L90" si="93">+G90*4%</f>
        <v>180000</v>
      </c>
      <c r="M90" s="5">
        <f>+G90*5%</f>
        <v>225000</v>
      </c>
      <c r="N90" s="5"/>
      <c r="O90" s="5"/>
      <c r="P90" s="5">
        <v>90000</v>
      </c>
      <c r="Q90" s="5"/>
      <c r="R90" s="5"/>
      <c r="S90" s="5"/>
      <c r="T90" s="5">
        <f t="shared" si="48"/>
        <v>495000</v>
      </c>
      <c r="U90" s="7">
        <f>+K90-T90</f>
        <v>6005000</v>
      </c>
      <c r="V90" s="7"/>
      <c r="W90" s="44"/>
      <c r="X90" s="7">
        <f t="shared" si="65"/>
        <v>6005000</v>
      </c>
    </row>
    <row r="91" spans="1:24" x14ac:dyDescent="0.25">
      <c r="A91" s="90"/>
      <c r="B91" s="4">
        <v>45</v>
      </c>
      <c r="C91" s="11" t="s">
        <v>122</v>
      </c>
      <c r="D91" s="6" t="s">
        <v>27</v>
      </c>
      <c r="E91" s="5">
        <v>2000000</v>
      </c>
      <c r="F91" s="5">
        <v>30</v>
      </c>
      <c r="G91" s="5">
        <f t="shared" si="92"/>
        <v>2000000.0000000002</v>
      </c>
      <c r="H91" s="5"/>
      <c r="I91" s="5"/>
      <c r="J91" s="5">
        <f>+E91-G91</f>
        <v>0</v>
      </c>
      <c r="K91" s="5">
        <f t="shared" si="81"/>
        <v>2000000.0000000002</v>
      </c>
      <c r="L91" s="5">
        <f>+G91*4%</f>
        <v>80000.000000000015</v>
      </c>
      <c r="M91" s="5">
        <f>+G91*4%</f>
        <v>80000.000000000015</v>
      </c>
      <c r="N91" s="5"/>
      <c r="O91" s="5"/>
      <c r="P91" s="5">
        <v>0</v>
      </c>
      <c r="Q91" s="5"/>
      <c r="R91" s="5"/>
      <c r="S91" s="5"/>
      <c r="T91" s="5">
        <f t="shared" si="48"/>
        <v>160000.00000000003</v>
      </c>
      <c r="U91" s="7">
        <f>+K91-T91</f>
        <v>1840000.0000000002</v>
      </c>
      <c r="V91" s="7"/>
      <c r="W91" s="44"/>
      <c r="X91" s="7">
        <f t="shared" si="65"/>
        <v>1840000.0000000002</v>
      </c>
    </row>
    <row r="92" spans="1:24" x14ac:dyDescent="0.25">
      <c r="A92" s="90"/>
      <c r="B92" s="4">
        <v>46</v>
      </c>
      <c r="C92" s="3" t="s">
        <v>123</v>
      </c>
      <c r="D92" s="4" t="s">
        <v>27</v>
      </c>
      <c r="E92" s="5">
        <v>3000000</v>
      </c>
      <c r="F92" s="5">
        <v>30</v>
      </c>
      <c r="G92" s="5">
        <f t="shared" si="92"/>
        <v>3000000</v>
      </c>
      <c r="H92" s="5"/>
      <c r="I92" s="5">
        <v>270000</v>
      </c>
      <c r="J92" s="5">
        <f>+E92-G92</f>
        <v>0</v>
      </c>
      <c r="K92" s="5">
        <f t="shared" si="81"/>
        <v>3270000</v>
      </c>
      <c r="L92" s="5">
        <f>+E92*4%</f>
        <v>120000</v>
      </c>
      <c r="M92" s="5">
        <f>+G92*5%</f>
        <v>150000</v>
      </c>
      <c r="N92" s="5"/>
      <c r="O92" s="5"/>
      <c r="P92" s="5">
        <v>0</v>
      </c>
      <c r="Q92" s="5"/>
      <c r="R92" s="5"/>
      <c r="S92" s="5"/>
      <c r="T92" s="5">
        <f t="shared" si="48"/>
        <v>270000</v>
      </c>
      <c r="U92" s="7">
        <f>K92-T92</f>
        <v>3000000</v>
      </c>
      <c r="V92" s="7"/>
      <c r="W92" s="44"/>
      <c r="X92" s="7">
        <f t="shared" si="65"/>
        <v>3000000</v>
      </c>
    </row>
    <row r="93" spans="1:24" x14ac:dyDescent="0.25">
      <c r="A93" s="90"/>
      <c r="B93" s="4">
        <v>47</v>
      </c>
      <c r="C93" s="3" t="s">
        <v>124</v>
      </c>
      <c r="D93" s="4" t="s">
        <v>27</v>
      </c>
      <c r="E93" s="5">
        <v>1600000</v>
      </c>
      <c r="F93" s="5">
        <v>30</v>
      </c>
      <c r="G93" s="5">
        <f t="shared" si="92"/>
        <v>1600000</v>
      </c>
      <c r="H93" s="5"/>
      <c r="I93" s="5">
        <v>200000</v>
      </c>
      <c r="J93" s="5"/>
      <c r="K93" s="5">
        <f t="shared" si="81"/>
        <v>1800000</v>
      </c>
      <c r="L93" s="5">
        <f>+G93*4%</f>
        <v>64000</v>
      </c>
      <c r="M93" s="5">
        <f>+G93*4%</f>
        <v>64000</v>
      </c>
      <c r="N93" s="5"/>
      <c r="O93" s="5"/>
      <c r="P93" s="5"/>
      <c r="Q93" s="5"/>
      <c r="R93" s="5"/>
      <c r="S93" s="5"/>
      <c r="T93" s="5">
        <f>SUM(L93:S93)</f>
        <v>128000</v>
      </c>
      <c r="U93" s="7">
        <f>K93-T93</f>
        <v>1672000</v>
      </c>
      <c r="V93" s="7"/>
      <c r="W93" s="44"/>
      <c r="X93" s="7">
        <f t="shared" si="65"/>
        <v>1672000</v>
      </c>
    </row>
    <row r="94" spans="1:24" x14ac:dyDescent="0.25">
      <c r="A94" s="90"/>
      <c r="B94" s="4">
        <v>48</v>
      </c>
      <c r="C94" s="3" t="s">
        <v>125</v>
      </c>
      <c r="D94" s="4"/>
      <c r="E94" s="5">
        <v>800000</v>
      </c>
      <c r="F94" s="5">
        <v>30</v>
      </c>
      <c r="G94" s="5">
        <f t="shared" si="92"/>
        <v>800000</v>
      </c>
      <c r="H94" s="5"/>
      <c r="I94" s="5"/>
      <c r="J94" s="5"/>
      <c r="K94" s="5">
        <f t="shared" ref="K94:K95" si="94">SUM(G94:I94)+J94</f>
        <v>800000</v>
      </c>
      <c r="L94" s="5">
        <f>+G94*4%</f>
        <v>32000</v>
      </c>
      <c r="M94" s="5">
        <f>+G94*4%</f>
        <v>32000</v>
      </c>
      <c r="N94" s="5"/>
      <c r="O94" s="5"/>
      <c r="P94" s="5"/>
      <c r="Q94" s="5"/>
      <c r="R94" s="5"/>
      <c r="S94" s="5"/>
      <c r="T94" s="5">
        <f>SUM(L94:S94)</f>
        <v>64000</v>
      </c>
      <c r="U94" s="7">
        <f>K94-T94</f>
        <v>736000</v>
      </c>
      <c r="V94" s="7"/>
      <c r="W94" s="44"/>
      <c r="X94" s="7">
        <f t="shared" si="65"/>
        <v>736000</v>
      </c>
    </row>
    <row r="95" spans="1:24" x14ac:dyDescent="0.25">
      <c r="A95" s="90"/>
      <c r="B95" s="4">
        <v>49</v>
      </c>
      <c r="C95" s="3" t="s">
        <v>126</v>
      </c>
      <c r="D95" s="4"/>
      <c r="E95" s="5">
        <v>4500000</v>
      </c>
      <c r="F95" s="5">
        <v>30</v>
      </c>
      <c r="G95" s="5">
        <f t="shared" si="92"/>
        <v>4500000</v>
      </c>
      <c r="H95" s="5"/>
      <c r="I95" s="5"/>
      <c r="J95" s="5"/>
      <c r="K95" s="5">
        <f t="shared" si="94"/>
        <v>4500000</v>
      </c>
      <c r="L95" s="5">
        <f>+G95*4%</f>
        <v>180000</v>
      </c>
      <c r="M95" s="5">
        <f>+G95*5%</f>
        <v>225000</v>
      </c>
      <c r="N95" s="5"/>
      <c r="O95" s="5"/>
      <c r="P95" s="5">
        <v>34000</v>
      </c>
      <c r="Q95" s="5"/>
      <c r="R95" s="5"/>
      <c r="S95" s="5"/>
      <c r="T95" s="5">
        <f>SUM(L95:S95)</f>
        <v>439000</v>
      </c>
      <c r="U95" s="7">
        <f>K95-T95</f>
        <v>4061000</v>
      </c>
      <c r="V95" s="7"/>
      <c r="W95" s="44"/>
      <c r="X95" s="7">
        <f t="shared" si="65"/>
        <v>4061000</v>
      </c>
    </row>
    <row r="96" spans="1:24" ht="24" x14ac:dyDescent="0.25">
      <c r="A96" s="90"/>
      <c r="B96" s="4">
        <v>50</v>
      </c>
      <c r="C96" s="11" t="s">
        <v>128</v>
      </c>
      <c r="D96" s="6" t="s">
        <v>27</v>
      </c>
      <c r="E96" s="5">
        <v>3000000</v>
      </c>
      <c r="F96" s="5">
        <v>30</v>
      </c>
      <c r="G96" s="5">
        <f>+E96-J96</f>
        <v>2416667</v>
      </c>
      <c r="H96" s="5"/>
      <c r="I96" s="5"/>
      <c r="J96" s="5">
        <v>583333</v>
      </c>
      <c r="K96" s="5">
        <f t="shared" si="81"/>
        <v>3000000</v>
      </c>
      <c r="L96" s="5">
        <f>+E96*4%</f>
        <v>120000</v>
      </c>
      <c r="M96" s="5">
        <f>+E96*5%</f>
        <v>150000</v>
      </c>
      <c r="N96" s="5"/>
      <c r="O96" s="5">
        <v>27900</v>
      </c>
      <c r="P96" s="5"/>
      <c r="Q96" s="5"/>
      <c r="R96" s="5"/>
      <c r="S96" s="5"/>
      <c r="T96" s="5">
        <f t="shared" si="48"/>
        <v>297900</v>
      </c>
      <c r="U96" s="7">
        <f>+K96-T96</f>
        <v>2702100</v>
      </c>
      <c r="V96" s="7"/>
      <c r="W96" s="44"/>
      <c r="X96" s="7">
        <f t="shared" si="65"/>
        <v>2702100</v>
      </c>
    </row>
    <row r="97" spans="1:28" x14ac:dyDescent="0.25">
      <c r="A97" s="90"/>
      <c r="B97" s="4">
        <v>51</v>
      </c>
      <c r="C97" s="11" t="s">
        <v>129</v>
      </c>
      <c r="D97" s="6" t="s">
        <v>27</v>
      </c>
      <c r="E97" s="5">
        <v>3700000</v>
      </c>
      <c r="F97" s="5">
        <v>30</v>
      </c>
      <c r="G97" s="5">
        <f t="shared" ref="G97" si="95">+E97/30*F97</f>
        <v>3700000</v>
      </c>
      <c r="H97" s="5"/>
      <c r="I97" s="5">
        <v>650000</v>
      </c>
      <c r="J97" s="5"/>
      <c r="K97" s="5">
        <f t="shared" ref="K97" si="96">SUM(G97:I97)+J97</f>
        <v>4350000</v>
      </c>
      <c r="L97" s="5">
        <f t="shared" ref="L97" si="97">+G97*4%</f>
        <v>148000</v>
      </c>
      <c r="M97" s="5">
        <f>+G97*5%</f>
        <v>185000</v>
      </c>
      <c r="N97" s="5"/>
      <c r="O97" s="5"/>
      <c r="P97" s="5">
        <v>35000</v>
      </c>
      <c r="Q97" s="5"/>
      <c r="R97" s="5"/>
      <c r="S97" s="5"/>
      <c r="T97" s="5">
        <f t="shared" ref="T97" si="98">SUM(L97:S97)</f>
        <v>368000</v>
      </c>
      <c r="U97" s="7">
        <f>+K97-T97</f>
        <v>3982000</v>
      </c>
      <c r="V97" s="7"/>
      <c r="W97" s="44"/>
      <c r="X97" s="7">
        <f t="shared" si="65"/>
        <v>3982000</v>
      </c>
    </row>
    <row r="98" spans="1:28" x14ac:dyDescent="0.25">
      <c r="A98" s="90"/>
      <c r="B98" s="4">
        <v>52</v>
      </c>
      <c r="C98" s="11" t="s">
        <v>130</v>
      </c>
      <c r="D98" s="6" t="s">
        <v>35</v>
      </c>
      <c r="E98" s="5">
        <v>1800000</v>
      </c>
      <c r="F98" s="5">
        <v>30</v>
      </c>
      <c r="G98" s="5">
        <f>+E98-J98</f>
        <v>960000</v>
      </c>
      <c r="H98" s="5"/>
      <c r="I98" s="5"/>
      <c r="J98" s="5">
        <v>840000</v>
      </c>
      <c r="K98" s="5">
        <f t="shared" si="81"/>
        <v>1800000</v>
      </c>
      <c r="L98" s="5">
        <f>+E98*4%</f>
        <v>72000</v>
      </c>
      <c r="M98" s="5">
        <f>+E98*4%</f>
        <v>72000</v>
      </c>
      <c r="N98" s="5"/>
      <c r="O98" s="5"/>
      <c r="P98" s="17"/>
      <c r="Q98" s="5"/>
      <c r="R98" s="5"/>
      <c r="S98" s="5">
        <v>136805</v>
      </c>
      <c r="T98" s="5">
        <f t="shared" si="48"/>
        <v>280805</v>
      </c>
      <c r="U98" s="7">
        <f>+K98-T98</f>
        <v>1519195</v>
      </c>
      <c r="V98" s="7"/>
      <c r="W98" s="44"/>
      <c r="X98" s="7">
        <f t="shared" si="65"/>
        <v>1519195</v>
      </c>
    </row>
    <row r="99" spans="1:28" x14ac:dyDescent="0.25">
      <c r="A99" s="90"/>
      <c r="B99" s="4">
        <v>53</v>
      </c>
      <c r="C99" s="3" t="s">
        <v>131</v>
      </c>
      <c r="D99" s="4" t="s">
        <v>27</v>
      </c>
      <c r="E99" s="5">
        <v>1600000</v>
      </c>
      <c r="F99" s="5">
        <v>30</v>
      </c>
      <c r="G99" s="5">
        <f>+E99-J99</f>
        <v>1226667</v>
      </c>
      <c r="H99" s="5"/>
      <c r="I99" s="5"/>
      <c r="J99" s="5">
        <v>373333</v>
      </c>
      <c r="K99" s="5">
        <f t="shared" si="81"/>
        <v>1600000</v>
      </c>
      <c r="L99" s="5">
        <f>+K99*4%</f>
        <v>64000</v>
      </c>
      <c r="M99" s="5">
        <v>64000</v>
      </c>
      <c r="N99" s="5"/>
      <c r="O99" s="5"/>
      <c r="P99" s="5">
        <v>0</v>
      </c>
      <c r="Q99" s="5"/>
      <c r="R99" s="5"/>
      <c r="S99" s="5">
        <v>249127</v>
      </c>
      <c r="T99" s="5">
        <f t="shared" si="48"/>
        <v>377127</v>
      </c>
      <c r="U99" s="7">
        <f>K99-T99</f>
        <v>1222873</v>
      </c>
      <c r="V99" s="7"/>
      <c r="W99" s="44"/>
      <c r="X99" s="7">
        <f t="shared" si="65"/>
        <v>1222873</v>
      </c>
    </row>
    <row r="100" spans="1:28" x14ac:dyDescent="0.25">
      <c r="A100" s="90"/>
      <c r="B100" s="4">
        <v>54</v>
      </c>
      <c r="C100" s="11" t="s">
        <v>132</v>
      </c>
      <c r="D100" s="6" t="s">
        <v>27</v>
      </c>
      <c r="E100" s="5">
        <v>737717</v>
      </c>
      <c r="F100" s="5">
        <v>30</v>
      </c>
      <c r="G100" s="5">
        <f>+E100/30*F100</f>
        <v>737717</v>
      </c>
      <c r="H100" s="5">
        <f t="shared" ref="H100" si="99">+(83140/30)*F100</f>
        <v>83140</v>
      </c>
      <c r="I100" s="5"/>
      <c r="J100" s="5"/>
      <c r="K100" s="5">
        <f t="shared" si="81"/>
        <v>820857</v>
      </c>
      <c r="L100" s="5">
        <v>29509</v>
      </c>
      <c r="M100" s="5">
        <v>29509</v>
      </c>
      <c r="N100" s="5"/>
      <c r="O100" s="5"/>
      <c r="P100" s="5">
        <v>0</v>
      </c>
      <c r="Q100" s="5"/>
      <c r="R100" s="5"/>
      <c r="S100" s="5"/>
      <c r="T100" s="5">
        <f t="shared" si="48"/>
        <v>59018</v>
      </c>
      <c r="U100" s="7">
        <f t="shared" ref="U100:U104" si="100">+K100-T100</f>
        <v>761839</v>
      </c>
      <c r="V100" s="7"/>
      <c r="W100" s="44"/>
      <c r="X100" s="7">
        <f t="shared" si="65"/>
        <v>761839</v>
      </c>
    </row>
    <row r="101" spans="1:28" ht="24" x14ac:dyDescent="0.25">
      <c r="A101" s="90"/>
      <c r="B101" s="4">
        <v>55</v>
      </c>
      <c r="C101" s="11" t="s">
        <v>134</v>
      </c>
      <c r="D101" s="6" t="s">
        <v>27</v>
      </c>
      <c r="E101" s="5">
        <v>1800000</v>
      </c>
      <c r="F101" s="5">
        <v>30</v>
      </c>
      <c r="G101" s="5">
        <f>+E101/30*F101</f>
        <v>1800000</v>
      </c>
      <c r="H101" s="5"/>
      <c r="I101" s="5"/>
      <c r="J101" s="21"/>
      <c r="K101" s="5">
        <f t="shared" ref="K101" si="101">SUM(G101:I101)+J101</f>
        <v>1800000</v>
      </c>
      <c r="L101" s="5">
        <f t="shared" ref="L101" si="102">+G101*4%</f>
        <v>72000</v>
      </c>
      <c r="M101" s="5">
        <f t="shared" ref="M101" si="103">+G101*4%</f>
        <v>72000</v>
      </c>
      <c r="N101" s="5"/>
      <c r="O101" s="5"/>
      <c r="P101" s="5">
        <v>0</v>
      </c>
      <c r="Q101" s="5"/>
      <c r="R101" s="5"/>
      <c r="S101" s="5"/>
      <c r="T101" s="5">
        <f t="shared" ref="T101" si="104">SUM(L101:S101)</f>
        <v>144000</v>
      </c>
      <c r="U101" s="7">
        <f t="shared" si="100"/>
        <v>1656000</v>
      </c>
      <c r="V101" s="7"/>
      <c r="W101" s="44"/>
      <c r="X101" s="7">
        <f t="shared" si="65"/>
        <v>1656000</v>
      </c>
    </row>
    <row r="102" spans="1:28" ht="18.75" customHeight="1" x14ac:dyDescent="0.25">
      <c r="A102" s="90"/>
      <c r="B102" s="4">
        <v>56</v>
      </c>
      <c r="C102" s="11" t="s">
        <v>135</v>
      </c>
      <c r="D102" s="6" t="s">
        <v>27</v>
      </c>
      <c r="E102" s="5">
        <v>2000000</v>
      </c>
      <c r="F102" s="5">
        <v>30</v>
      </c>
      <c r="G102" s="5">
        <f t="shared" ref="G102" si="105">+E102/30*F102</f>
        <v>2000000.0000000002</v>
      </c>
      <c r="H102" s="5"/>
      <c r="I102" s="5"/>
      <c r="J102" s="5">
        <f>+E102-G102</f>
        <v>0</v>
      </c>
      <c r="K102" s="5">
        <f t="shared" si="81"/>
        <v>2000000.0000000002</v>
      </c>
      <c r="L102" s="5">
        <v>80000</v>
      </c>
      <c r="M102" s="5">
        <v>80000</v>
      </c>
      <c r="N102" s="5"/>
      <c r="O102" s="5"/>
      <c r="P102" s="5"/>
      <c r="Q102" s="5"/>
      <c r="R102" s="5"/>
      <c r="S102" s="5"/>
      <c r="T102" s="5">
        <f t="shared" si="48"/>
        <v>160000</v>
      </c>
      <c r="U102" s="7">
        <f t="shared" si="100"/>
        <v>1840000.0000000002</v>
      </c>
      <c r="V102" s="7"/>
      <c r="W102" s="44"/>
      <c r="X102" s="7">
        <f t="shared" si="65"/>
        <v>1840000.0000000002</v>
      </c>
    </row>
    <row r="103" spans="1:28" ht="18.75" customHeight="1" x14ac:dyDescent="0.25">
      <c r="A103" s="90"/>
      <c r="B103" s="4">
        <v>57</v>
      </c>
      <c r="C103" s="11" t="s">
        <v>137</v>
      </c>
      <c r="D103" s="6"/>
      <c r="E103" s="5">
        <v>1070000</v>
      </c>
      <c r="F103" s="5">
        <v>30</v>
      </c>
      <c r="G103" s="5">
        <f>+E103/30*F103</f>
        <v>1070000</v>
      </c>
      <c r="H103" s="5">
        <f t="shared" ref="H103" si="106">+(83140/30)*F103</f>
        <v>83140</v>
      </c>
      <c r="I103" s="5"/>
      <c r="J103" s="22"/>
      <c r="K103" s="5">
        <f t="shared" ref="K103" si="107">SUM(G103:I103)+J103</f>
        <v>1153140</v>
      </c>
      <c r="L103" s="5">
        <f t="shared" ref="L103" si="108">+G103*4%</f>
        <v>42800</v>
      </c>
      <c r="M103" s="5">
        <f t="shared" ref="M103" si="109">+G103*4%</f>
        <v>42800</v>
      </c>
      <c r="N103" s="5"/>
      <c r="O103" s="5">
        <v>100000</v>
      </c>
      <c r="P103" s="5">
        <v>0</v>
      </c>
      <c r="Q103" s="5"/>
      <c r="R103" s="5"/>
      <c r="S103" s="5"/>
      <c r="T103" s="5">
        <f t="shared" ref="T103" si="110">SUM(L103:S103)</f>
        <v>185600</v>
      </c>
      <c r="U103" s="7">
        <f t="shared" si="100"/>
        <v>967540</v>
      </c>
      <c r="V103" s="7"/>
      <c r="W103" s="44"/>
      <c r="X103" s="7">
        <f t="shared" si="65"/>
        <v>967540</v>
      </c>
    </row>
    <row r="104" spans="1:28" x14ac:dyDescent="0.25">
      <c r="A104" s="90"/>
      <c r="B104" s="4">
        <v>58</v>
      </c>
      <c r="C104" s="11" t="s">
        <v>138</v>
      </c>
      <c r="D104" s="6" t="s">
        <v>27</v>
      </c>
      <c r="E104" s="5">
        <v>4400000</v>
      </c>
      <c r="F104" s="5">
        <v>30</v>
      </c>
      <c r="G104" s="5">
        <f>+E104/30*F104</f>
        <v>4400000</v>
      </c>
      <c r="H104" s="5"/>
      <c r="I104" s="5"/>
      <c r="J104" s="5"/>
      <c r="K104" s="5">
        <f t="shared" ref="K104" si="111">SUM(G104:I104)+J104</f>
        <v>4400000</v>
      </c>
      <c r="L104" s="5">
        <f>+G104*4%</f>
        <v>176000</v>
      </c>
      <c r="M104" s="5">
        <f>+G104*5%</f>
        <v>220000</v>
      </c>
      <c r="N104" s="5"/>
      <c r="O104" s="5">
        <v>24400</v>
      </c>
      <c r="P104" s="5">
        <v>44000</v>
      </c>
      <c r="Q104" s="5"/>
      <c r="R104" s="5"/>
      <c r="S104" s="5">
        <v>500000</v>
      </c>
      <c r="T104" s="5">
        <f t="shared" si="48"/>
        <v>964400</v>
      </c>
      <c r="U104" s="7">
        <f t="shared" si="100"/>
        <v>3435600</v>
      </c>
      <c r="V104" s="7"/>
      <c r="W104" s="44"/>
      <c r="X104" s="7">
        <f t="shared" si="65"/>
        <v>3435600</v>
      </c>
    </row>
    <row r="105" spans="1:28" x14ac:dyDescent="0.25">
      <c r="A105" s="4"/>
      <c r="B105" s="4"/>
      <c r="C105" s="11" t="s">
        <v>140</v>
      </c>
      <c r="D105" s="4"/>
      <c r="E105" s="5">
        <f>SUM(E4:E104)</f>
        <v>357220640</v>
      </c>
      <c r="F105" s="5" t="s">
        <v>1</v>
      </c>
      <c r="G105" s="7">
        <f>SUM(G4:G104)</f>
        <v>348035997</v>
      </c>
      <c r="H105" s="7">
        <f t="shared" ref="H105:U105" si="112">SUM(H4:H104)</f>
        <v>7321054</v>
      </c>
      <c r="I105" s="7">
        <f t="shared" si="112"/>
        <v>15492979</v>
      </c>
      <c r="J105" s="7">
        <f t="shared" si="112"/>
        <v>10371313</v>
      </c>
      <c r="K105" s="7">
        <f t="shared" si="112"/>
        <v>381221343</v>
      </c>
      <c r="L105" s="7">
        <f t="shared" si="112"/>
        <v>14139789.040000001</v>
      </c>
      <c r="M105" s="7">
        <f t="shared" si="112"/>
        <v>17344664.73</v>
      </c>
      <c r="N105" s="7">
        <f t="shared" si="112"/>
        <v>214700</v>
      </c>
      <c r="O105" s="7">
        <f t="shared" si="112"/>
        <v>2697300</v>
      </c>
      <c r="P105" s="7">
        <f t="shared" si="112"/>
        <v>4666394</v>
      </c>
      <c r="Q105" s="7">
        <f t="shared" si="112"/>
        <v>14200000</v>
      </c>
      <c r="R105" s="7">
        <f t="shared" si="112"/>
        <v>1049612</v>
      </c>
      <c r="S105" s="7">
        <f t="shared" si="112"/>
        <v>11380128</v>
      </c>
      <c r="T105" s="7">
        <f t="shared" si="112"/>
        <v>65692587.769999996</v>
      </c>
      <c r="U105" s="7">
        <f t="shared" si="112"/>
        <v>315528755.23000002</v>
      </c>
      <c r="V105" s="7">
        <f>SUM(V5:V100)</f>
        <v>0</v>
      </c>
      <c r="W105" s="44">
        <f>SUM(W5:W100)</f>
        <v>0</v>
      </c>
      <c r="X105" s="7">
        <f>SUM(X4:X104)</f>
        <v>315528755.23000002</v>
      </c>
    </row>
    <row r="106" spans="1:28" x14ac:dyDescent="0.25">
      <c r="E106" s="54"/>
      <c r="F106" s="54"/>
      <c r="G106" s="54"/>
      <c r="U106" s="55"/>
      <c r="V106" s="55"/>
      <c r="X106" s="55"/>
    </row>
    <row r="107" spans="1:28" x14ac:dyDescent="0.25">
      <c r="D107" s="53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7"/>
      <c r="V107" s="53"/>
      <c r="W107" s="58"/>
      <c r="X107" s="57"/>
    </row>
    <row r="108" spans="1:28" x14ac:dyDescent="0.25">
      <c r="D108" s="53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3"/>
      <c r="V108" s="53"/>
      <c r="W108" s="58"/>
      <c r="X108" s="57"/>
    </row>
    <row r="109" spans="1:28" x14ac:dyDescent="0.25">
      <c r="C109" s="59"/>
      <c r="D109" s="53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3"/>
      <c r="V109" s="53"/>
      <c r="W109" s="58"/>
      <c r="X109" s="57"/>
    </row>
    <row r="110" spans="1:28" x14ac:dyDescent="0.25">
      <c r="C110" s="59"/>
      <c r="D110" s="53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3"/>
      <c r="V110" s="53"/>
      <c r="W110" s="58"/>
      <c r="X110" s="53"/>
      <c r="Y110" s="53"/>
      <c r="Z110" s="53"/>
      <c r="AA110" s="53"/>
      <c r="AB110" s="53"/>
    </row>
    <row r="111" spans="1:28" x14ac:dyDescent="0.25">
      <c r="B111" s="53"/>
      <c r="C111" s="59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54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53"/>
      <c r="Z111" s="53"/>
      <c r="AA111" s="53"/>
      <c r="AB111" s="53"/>
    </row>
    <row r="112" spans="1:28" x14ac:dyDescent="0.25">
      <c r="B112" s="53"/>
      <c r="C112" s="59"/>
      <c r="D112" s="53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3"/>
      <c r="V112" s="53"/>
      <c r="W112" s="58"/>
      <c r="X112" s="53"/>
      <c r="Y112" s="53"/>
      <c r="Z112" s="53"/>
      <c r="AA112" s="53"/>
      <c r="AB112" s="53"/>
    </row>
    <row r="113" spans="2:28" x14ac:dyDescent="0.25">
      <c r="B113" s="53"/>
      <c r="C113" s="59"/>
      <c r="D113" s="53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3"/>
      <c r="V113" s="53"/>
      <c r="W113" s="58"/>
      <c r="X113" s="53"/>
      <c r="Y113" s="53"/>
      <c r="Z113" s="53"/>
      <c r="AA113" s="53"/>
      <c r="AB113" s="53"/>
    </row>
    <row r="114" spans="2:28" x14ac:dyDescent="0.25">
      <c r="B114" s="53"/>
      <c r="C114" s="59"/>
      <c r="D114" s="53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3"/>
      <c r="V114" s="53"/>
      <c r="W114" s="58"/>
      <c r="X114" s="53"/>
      <c r="Y114" s="53"/>
      <c r="Z114" s="53"/>
      <c r="AA114" s="53"/>
      <c r="AB114" s="53"/>
    </row>
    <row r="115" spans="2:28" x14ac:dyDescent="0.25">
      <c r="B115" s="53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2"/>
      <c r="W115" s="63"/>
      <c r="X115" s="62"/>
      <c r="Y115" s="53"/>
      <c r="Z115" s="53"/>
      <c r="AA115" s="53"/>
      <c r="AB115" s="53"/>
    </row>
    <row r="116" spans="2:28" x14ac:dyDescent="0.25">
      <c r="B116" s="64"/>
      <c r="C116" s="59"/>
      <c r="D116" s="62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2"/>
      <c r="V116" s="62"/>
      <c r="W116" s="63"/>
      <c r="X116" s="62"/>
      <c r="Y116" s="53"/>
      <c r="Z116" s="53"/>
      <c r="AA116" s="53"/>
      <c r="AB116" s="53"/>
    </row>
    <row r="117" spans="2:28" x14ac:dyDescent="0.25">
      <c r="B117" s="53"/>
      <c r="C117" s="59"/>
      <c r="D117" s="53"/>
      <c r="E117" s="54"/>
      <c r="F117" s="54"/>
      <c r="G117" s="66"/>
      <c r="H117" s="54"/>
      <c r="I117" s="54"/>
      <c r="J117" s="54"/>
      <c r="K117" s="54"/>
      <c r="L117" s="54"/>
      <c r="M117" s="54"/>
      <c r="N117" s="67"/>
      <c r="O117" s="67"/>
      <c r="P117" s="67"/>
      <c r="Q117" s="67"/>
      <c r="R117" s="67"/>
      <c r="S117" s="54"/>
      <c r="T117" s="54"/>
      <c r="U117" s="53"/>
      <c r="V117" s="53"/>
      <c r="W117" s="58"/>
      <c r="X117" s="53"/>
      <c r="Y117" s="53"/>
      <c r="Z117" s="53"/>
      <c r="AA117" s="53"/>
      <c r="AB117" s="53"/>
    </row>
    <row r="118" spans="2:28" x14ac:dyDescent="0.25">
      <c r="B118" s="53"/>
      <c r="C118" s="68"/>
      <c r="D118" s="62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2"/>
      <c r="V118" s="62"/>
      <c r="W118" s="63"/>
      <c r="X118" s="62"/>
      <c r="Y118" s="53"/>
      <c r="Z118" s="53"/>
      <c r="AA118" s="53"/>
      <c r="AB118" s="53"/>
    </row>
    <row r="119" spans="2:28" x14ac:dyDescent="0.25">
      <c r="B119" s="62"/>
      <c r="C119" s="68"/>
      <c r="D119" s="62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2"/>
      <c r="V119" s="62"/>
      <c r="W119" s="63"/>
      <c r="X119" s="62"/>
      <c r="Y119" s="53"/>
      <c r="Z119" s="53"/>
      <c r="AA119" s="53"/>
      <c r="AB119" s="53"/>
    </row>
    <row r="120" spans="2:28" x14ac:dyDescent="0.25">
      <c r="B120" s="53"/>
      <c r="C120" s="68"/>
      <c r="D120" s="62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7"/>
      <c r="V120" s="57"/>
      <c r="W120" s="58"/>
      <c r="X120" s="57"/>
      <c r="Y120" s="53"/>
      <c r="Z120" s="53"/>
      <c r="AA120" s="53"/>
      <c r="AB120" s="53"/>
    </row>
    <row r="121" spans="2:28" x14ac:dyDescent="0.25">
      <c r="C121" s="68"/>
      <c r="D121" s="62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7"/>
      <c r="V121" s="57"/>
      <c r="W121" s="58"/>
      <c r="X121" s="57"/>
      <c r="Y121" s="53"/>
      <c r="Z121" s="53"/>
      <c r="AA121" s="53"/>
      <c r="AB121" s="53"/>
    </row>
    <row r="122" spans="2:28" x14ac:dyDescent="0.25">
      <c r="C122" s="68"/>
      <c r="D122" s="62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7"/>
      <c r="V122" s="57"/>
      <c r="W122" s="58"/>
      <c r="X122" s="57"/>
      <c r="Y122" s="53"/>
      <c r="Z122" s="53"/>
      <c r="AA122" s="53"/>
      <c r="AB122" s="53"/>
    </row>
    <row r="123" spans="2:28" x14ac:dyDescent="0.25">
      <c r="C123" s="68"/>
      <c r="D123" s="62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7"/>
      <c r="V123" s="57"/>
      <c r="W123" s="58"/>
      <c r="X123" s="57"/>
      <c r="Y123" s="53"/>
      <c r="Z123" s="53"/>
      <c r="AA123" s="53"/>
      <c r="AB123" s="53"/>
    </row>
    <row r="124" spans="2:28" x14ac:dyDescent="0.25">
      <c r="C124" s="68"/>
      <c r="D124" s="62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7"/>
      <c r="V124" s="57"/>
      <c r="W124" s="58"/>
      <c r="X124" s="57"/>
      <c r="Y124" s="53"/>
      <c r="Z124" s="53"/>
      <c r="AA124" s="53"/>
      <c r="AB124" s="53"/>
    </row>
    <row r="125" spans="2:28" x14ac:dyDescent="0.25">
      <c r="C125" s="68"/>
      <c r="D125" s="62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7"/>
      <c r="V125" s="57"/>
      <c r="W125" s="58"/>
      <c r="X125" s="57"/>
      <c r="Y125" s="53"/>
      <c r="Z125" s="53"/>
      <c r="AA125" s="53"/>
      <c r="AB125" s="53"/>
    </row>
    <row r="126" spans="2:28" x14ac:dyDescent="0.25">
      <c r="C126" s="59"/>
      <c r="D126" s="53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7"/>
      <c r="V126" s="57"/>
      <c r="W126" s="58"/>
      <c r="X126" s="57"/>
      <c r="Y126" s="53"/>
      <c r="Z126" s="53"/>
      <c r="AA126" s="53"/>
      <c r="AB126" s="53"/>
    </row>
    <row r="127" spans="2:28" x14ac:dyDescent="0.25">
      <c r="C127" s="68"/>
      <c r="D127" s="53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7"/>
      <c r="V127" s="57"/>
      <c r="W127" s="58"/>
      <c r="X127" s="57"/>
      <c r="Y127" s="53"/>
      <c r="Z127" s="53"/>
      <c r="AA127" s="53"/>
      <c r="AB127" s="53"/>
    </row>
    <row r="128" spans="2:28" x14ac:dyDescent="0.25">
      <c r="C128" s="68"/>
      <c r="D128" s="53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7"/>
      <c r="V128" s="57"/>
      <c r="W128" s="58"/>
      <c r="X128" s="57"/>
      <c r="Y128" s="53"/>
      <c r="Z128" s="53"/>
      <c r="AA128" s="53"/>
      <c r="AB128" s="53"/>
    </row>
    <row r="129" spans="2:28" x14ac:dyDescent="0.25">
      <c r="C129" s="68"/>
      <c r="D129" s="53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7"/>
      <c r="V129" s="57"/>
      <c r="W129" s="58"/>
      <c r="X129" s="57"/>
      <c r="Y129" s="53"/>
      <c r="Z129" s="53"/>
      <c r="AA129" s="53"/>
      <c r="AB129" s="53"/>
    </row>
    <row r="130" spans="2:28" x14ac:dyDescent="0.25">
      <c r="C130" s="68"/>
      <c r="D130" s="53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7"/>
      <c r="V130" s="57"/>
      <c r="W130" s="58"/>
      <c r="X130" s="57"/>
      <c r="Y130" s="53"/>
      <c r="Z130" s="53"/>
      <c r="AA130" s="53"/>
      <c r="AB130" s="53"/>
    </row>
    <row r="131" spans="2:28" x14ac:dyDescent="0.25">
      <c r="C131" s="68"/>
      <c r="D131" s="53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7"/>
      <c r="V131" s="57"/>
      <c r="W131" s="58"/>
      <c r="X131" s="57"/>
      <c r="Y131" s="53"/>
      <c r="Z131" s="53"/>
      <c r="AA131" s="53"/>
      <c r="AB131" s="53"/>
    </row>
    <row r="132" spans="2:28" x14ac:dyDescent="0.25">
      <c r="C132" s="68"/>
      <c r="D132" s="53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7"/>
      <c r="V132" s="57"/>
      <c r="W132" s="58"/>
      <c r="X132" s="57"/>
      <c r="Y132" s="53"/>
      <c r="Z132" s="53"/>
      <c r="AA132" s="53"/>
      <c r="AB132" s="53"/>
    </row>
    <row r="133" spans="2:28" x14ac:dyDescent="0.25">
      <c r="C133" s="68"/>
      <c r="D133" s="53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7"/>
      <c r="V133" s="57"/>
      <c r="W133" s="58"/>
      <c r="X133" s="57"/>
      <c r="Y133" s="53"/>
      <c r="Z133" s="53"/>
      <c r="AA133" s="53"/>
      <c r="AB133" s="53"/>
    </row>
    <row r="134" spans="2:28" x14ac:dyDescent="0.25">
      <c r="C134" s="68"/>
      <c r="D134" s="53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7"/>
      <c r="V134" s="57"/>
      <c r="W134" s="58"/>
      <c r="X134" s="57"/>
      <c r="Y134" s="53"/>
      <c r="Z134" s="53"/>
      <c r="AA134" s="53"/>
      <c r="AB134" s="53"/>
    </row>
    <row r="135" spans="2:28" x14ac:dyDescent="0.25">
      <c r="C135" s="68"/>
      <c r="D135" s="53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7"/>
      <c r="V135" s="57"/>
      <c r="W135" s="58"/>
      <c r="X135" s="57"/>
      <c r="Y135" s="53"/>
      <c r="Z135" s="53"/>
      <c r="AA135" s="53"/>
      <c r="AB135" s="53"/>
    </row>
    <row r="136" spans="2:28" x14ac:dyDescent="0.25">
      <c r="C136" s="68"/>
      <c r="D136" s="53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7"/>
      <c r="V136" s="57"/>
      <c r="W136" s="58"/>
      <c r="X136" s="57"/>
      <c r="Y136" s="53"/>
      <c r="Z136" s="53"/>
      <c r="AA136" s="53"/>
      <c r="AB136" s="53"/>
    </row>
    <row r="137" spans="2:28" x14ac:dyDescent="0.25">
      <c r="C137" s="68"/>
      <c r="D137" s="53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7"/>
      <c r="V137" s="57"/>
      <c r="W137" s="58"/>
      <c r="X137" s="57"/>
      <c r="Y137" s="53"/>
      <c r="Z137" s="53"/>
      <c r="AA137" s="53"/>
      <c r="AB137" s="53"/>
    </row>
    <row r="138" spans="2:28" x14ac:dyDescent="0.25">
      <c r="C138" s="59"/>
      <c r="D138" s="53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3"/>
      <c r="V138" s="53"/>
      <c r="W138" s="58"/>
      <c r="X138" s="53"/>
      <c r="Y138" s="53"/>
      <c r="Z138" s="53"/>
      <c r="AA138" s="53"/>
      <c r="AB138" s="53"/>
    </row>
    <row r="139" spans="2:28" x14ac:dyDescent="0.25">
      <c r="C139" s="59"/>
      <c r="D139" s="53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53"/>
      <c r="S139" s="54"/>
      <c r="T139" s="54"/>
      <c r="U139" s="53"/>
      <c r="V139" s="53"/>
      <c r="W139" s="58"/>
      <c r="X139" s="53"/>
      <c r="Y139" s="53"/>
      <c r="Z139" s="53"/>
      <c r="AA139" s="53"/>
      <c r="AB139" s="53"/>
    </row>
    <row r="140" spans="2:28" x14ac:dyDescent="0.25">
      <c r="B140" s="53"/>
      <c r="C140" s="59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53"/>
      <c r="Z140" s="53"/>
      <c r="AA140" s="53"/>
      <c r="AB140" s="53"/>
    </row>
    <row r="141" spans="2:28" x14ac:dyDescent="0.25">
      <c r="B141" s="53"/>
      <c r="C141" s="59"/>
      <c r="D141" s="53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2"/>
      <c r="V141" s="62"/>
      <c r="W141" s="63"/>
      <c r="X141" s="62"/>
      <c r="Y141" s="53"/>
      <c r="Z141" s="53"/>
      <c r="AA141" s="53"/>
      <c r="AB141" s="53"/>
    </row>
    <row r="142" spans="2:28" x14ac:dyDescent="0.25">
      <c r="B142" s="53"/>
      <c r="C142" s="68"/>
      <c r="D142" s="62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2"/>
      <c r="V142" s="62"/>
      <c r="W142" s="63"/>
      <c r="X142" s="62"/>
    </row>
    <row r="143" spans="2:28" x14ac:dyDescent="0.25">
      <c r="B143" s="69"/>
      <c r="C143" s="68"/>
      <c r="D143" s="62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2"/>
      <c r="V143" s="62"/>
      <c r="W143" s="63"/>
      <c r="X143" s="62"/>
    </row>
    <row r="144" spans="2:28" x14ac:dyDescent="0.25">
      <c r="C144" s="68"/>
      <c r="D144" s="62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7"/>
      <c r="V144" s="57"/>
      <c r="W144" s="58"/>
      <c r="X144" s="57"/>
    </row>
    <row r="145" spans="2:24" x14ac:dyDescent="0.25">
      <c r="C145" s="68"/>
      <c r="D145" s="62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7"/>
      <c r="V145" s="57"/>
      <c r="W145" s="58"/>
      <c r="X145" s="57"/>
    </row>
    <row r="146" spans="2:24" x14ac:dyDescent="0.25">
      <c r="C146" s="68"/>
      <c r="D146" s="62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7"/>
      <c r="V146" s="57"/>
      <c r="W146" s="58"/>
      <c r="X146" s="57"/>
    </row>
    <row r="147" spans="2:24" x14ac:dyDescent="0.25">
      <c r="C147" s="59"/>
      <c r="D147" s="53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7"/>
      <c r="V147" s="57"/>
      <c r="W147" s="58"/>
      <c r="X147" s="57"/>
    </row>
    <row r="148" spans="2:24" x14ac:dyDescent="0.25">
      <c r="C148" s="68"/>
      <c r="D148" s="53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7"/>
      <c r="V148" s="57"/>
      <c r="W148" s="58"/>
      <c r="X148" s="57"/>
    </row>
    <row r="149" spans="2:24" x14ac:dyDescent="0.25">
      <c r="C149" s="59"/>
      <c r="D149" s="53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3"/>
      <c r="V149" s="53"/>
      <c r="W149" s="58"/>
      <c r="X149" s="53"/>
    </row>
    <row r="150" spans="2:24" x14ac:dyDescent="0.25">
      <c r="C150" s="59"/>
      <c r="D150" s="53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7"/>
      <c r="V150" s="57"/>
      <c r="W150" s="58"/>
      <c r="X150" s="57"/>
    </row>
    <row r="151" spans="2:24" x14ac:dyDescent="0.25">
      <c r="B151" s="53"/>
      <c r="C151" s="59"/>
      <c r="D151" s="53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3"/>
      <c r="V151" s="53"/>
      <c r="W151" s="58"/>
      <c r="X151" s="53"/>
    </row>
    <row r="152" spans="2:24" x14ac:dyDescent="0.25">
      <c r="B152" s="53"/>
      <c r="C152" s="59"/>
      <c r="D152" s="53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3"/>
      <c r="V152" s="53"/>
      <c r="W152" s="58"/>
      <c r="X152" s="53"/>
    </row>
    <row r="153" spans="2:24" x14ac:dyDescent="0.25">
      <c r="B153" s="53"/>
      <c r="C153" s="59"/>
      <c r="D153" s="53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70"/>
      <c r="V153" s="70"/>
      <c r="W153" s="58"/>
      <c r="X153" s="70"/>
    </row>
    <row r="154" spans="2:24" x14ac:dyDescent="0.25">
      <c r="B154" s="53"/>
      <c r="C154" s="59"/>
      <c r="D154" s="53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71"/>
      <c r="V154" s="71"/>
      <c r="W154" s="58"/>
      <c r="X154" s="71"/>
    </row>
    <row r="155" spans="2:24" x14ac:dyDescent="0.25">
      <c r="C155" s="59"/>
      <c r="D155" s="53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3"/>
      <c r="V155" s="53"/>
      <c r="W155" s="58"/>
      <c r="X155" s="53"/>
    </row>
    <row r="156" spans="2:24" x14ac:dyDescent="0.25">
      <c r="C156" s="59"/>
      <c r="D156" s="53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3"/>
      <c r="V156" s="53"/>
      <c r="W156" s="58"/>
      <c r="X156" s="53"/>
    </row>
    <row r="157" spans="2:24" x14ac:dyDescent="0.25">
      <c r="C157" s="59"/>
      <c r="D157" s="53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3"/>
      <c r="V157" s="53"/>
      <c r="W157" s="58"/>
      <c r="X157" s="53"/>
    </row>
    <row r="158" spans="2:24" x14ac:dyDescent="0.25">
      <c r="C158" s="59"/>
      <c r="D158" s="53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3"/>
      <c r="V158" s="53"/>
      <c r="W158" s="58"/>
      <c r="X158" s="53"/>
    </row>
    <row r="159" spans="2:24" x14ac:dyDescent="0.25">
      <c r="C159" s="59"/>
      <c r="D159" s="53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3"/>
      <c r="V159" s="53"/>
      <c r="W159" s="58"/>
      <c r="X159" s="53"/>
    </row>
    <row r="160" spans="2:24" x14ac:dyDescent="0.25">
      <c r="C160" s="59"/>
      <c r="D160" s="53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3"/>
      <c r="V160" s="53"/>
      <c r="W160" s="58"/>
      <c r="X160" s="53"/>
    </row>
    <row r="161" spans="3:24" x14ac:dyDescent="0.25">
      <c r="C161" s="59"/>
      <c r="D161" s="53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3"/>
      <c r="V161" s="53"/>
      <c r="W161" s="58"/>
      <c r="X161" s="53"/>
    </row>
    <row r="162" spans="3:24" x14ac:dyDescent="0.25">
      <c r="C162" s="59"/>
      <c r="D162" s="53"/>
      <c r="E162" s="54"/>
      <c r="F162" s="54"/>
      <c r="G162" s="54"/>
      <c r="H162" s="54"/>
      <c r="I162" s="54"/>
      <c r="J162" s="54"/>
      <c r="K162" s="54"/>
      <c r="L162" s="54">
        <v>3003000</v>
      </c>
      <c r="M162" s="54"/>
      <c r="N162" s="54"/>
      <c r="O162" s="54"/>
      <c r="P162" s="54"/>
      <c r="Q162" s="54"/>
      <c r="R162" s="54"/>
      <c r="S162" s="54"/>
      <c r="T162" s="54"/>
      <c r="U162" s="53"/>
      <c r="V162" s="53"/>
      <c r="W162" s="58"/>
      <c r="X162" s="53"/>
    </row>
    <row r="163" spans="3:24" x14ac:dyDescent="0.25">
      <c r="C163" s="68"/>
      <c r="D163" s="53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3"/>
      <c r="V163" s="53"/>
      <c r="W163" s="58"/>
      <c r="X163" s="53"/>
    </row>
    <row r="164" spans="3:24" x14ac:dyDescent="0.25">
      <c r="C164" s="68"/>
      <c r="D164" s="53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3"/>
      <c r="V164" s="53"/>
      <c r="W164" s="58"/>
      <c r="X164" s="53"/>
    </row>
    <row r="165" spans="3:24" x14ac:dyDescent="0.25">
      <c r="C165" s="68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3"/>
      <c r="V165" s="53"/>
      <c r="W165" s="58"/>
      <c r="X165" s="53"/>
    </row>
    <row r="166" spans="3:24" x14ac:dyDescent="0.25">
      <c r="C166" s="68"/>
      <c r="D166" s="53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3"/>
      <c r="V166" s="53"/>
      <c r="W166" s="58"/>
      <c r="X166" s="53"/>
    </row>
    <row r="167" spans="3:24" x14ac:dyDescent="0.25">
      <c r="C167" s="59">
        <v>42614840</v>
      </c>
      <c r="D167" s="53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>
        <v>412608</v>
      </c>
      <c r="U167" s="53"/>
      <c r="V167" s="53"/>
      <c r="W167" s="58"/>
      <c r="X167" s="53"/>
    </row>
    <row r="168" spans="3:24" x14ac:dyDescent="0.25">
      <c r="C168" s="59">
        <v>9675182</v>
      </c>
      <c r="D168" s="53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>
        <v>1880000</v>
      </c>
      <c r="U168" s="53"/>
      <c r="V168" s="53"/>
      <c r="W168" s="58"/>
      <c r="X168" s="53"/>
    </row>
    <row r="169" spans="3:24" x14ac:dyDescent="0.25">
      <c r="C169" s="59">
        <v>17903600</v>
      </c>
      <c r="D169" s="53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3"/>
      <c r="V169" s="53"/>
      <c r="W169" s="58"/>
      <c r="X169" s="53"/>
    </row>
    <row r="170" spans="3:24" x14ac:dyDescent="0.25">
      <c r="C170" s="59">
        <f>SUM(C167:C169)</f>
        <v>70193622</v>
      </c>
      <c r="D170" s="53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3"/>
      <c r="V170" s="53"/>
      <c r="W170" s="58"/>
      <c r="X170" s="53"/>
    </row>
    <row r="171" spans="3:24" x14ac:dyDescent="0.25">
      <c r="C171" s="59">
        <v>400000</v>
      </c>
      <c r="D171" s="53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3"/>
      <c r="V171" s="53"/>
      <c r="W171" s="58"/>
      <c r="X171" s="53"/>
    </row>
    <row r="172" spans="3:24" x14ac:dyDescent="0.25">
      <c r="C172" s="59">
        <f>+C170+C171</f>
        <v>70593622</v>
      </c>
      <c r="D172" s="53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3"/>
      <c r="V172" s="53"/>
      <c r="W172" s="58"/>
      <c r="X172" s="53"/>
    </row>
    <row r="175" spans="3:24" x14ac:dyDescent="0.25">
      <c r="C175" s="52">
        <v>64000000</v>
      </c>
    </row>
    <row r="176" spans="3:24" x14ac:dyDescent="0.25">
      <c r="C176" s="52">
        <v>11000000</v>
      </c>
    </row>
    <row r="177" spans="3:3" x14ac:dyDescent="0.25">
      <c r="C177" s="52">
        <f>+C175+C176</f>
        <v>75000000</v>
      </c>
    </row>
    <row r="181" spans="3:3" x14ac:dyDescent="0.25">
      <c r="C181" s="52">
        <v>2745000</v>
      </c>
    </row>
    <row r="182" spans="3:3" x14ac:dyDescent="0.25">
      <c r="C182" s="52">
        <v>3185000</v>
      </c>
    </row>
    <row r="183" spans="3:3" x14ac:dyDescent="0.25">
      <c r="C183" s="52">
        <v>1080000</v>
      </c>
    </row>
    <row r="184" spans="3:3" x14ac:dyDescent="0.25">
      <c r="C184" s="52">
        <v>4850100</v>
      </c>
    </row>
    <row r="185" spans="3:3" x14ac:dyDescent="0.25">
      <c r="C185" s="52">
        <v>5027500</v>
      </c>
    </row>
    <row r="186" spans="3:3" x14ac:dyDescent="0.25">
      <c r="C186" s="52">
        <v>4566000</v>
      </c>
    </row>
    <row r="187" spans="3:3" x14ac:dyDescent="0.25">
      <c r="C187" s="52">
        <v>1050000</v>
      </c>
    </row>
    <row r="188" spans="3:3" x14ac:dyDescent="0.25">
      <c r="C188" s="52">
        <v>3877333</v>
      </c>
    </row>
    <row r="189" spans="3:3" x14ac:dyDescent="0.25">
      <c r="C189" s="52">
        <v>6732440</v>
      </c>
    </row>
    <row r="190" spans="3:3" x14ac:dyDescent="0.25">
      <c r="C190" s="52">
        <v>3460000</v>
      </c>
    </row>
    <row r="191" spans="3:3" x14ac:dyDescent="0.25">
      <c r="C191" s="52">
        <v>588800</v>
      </c>
    </row>
    <row r="192" spans="3:3" x14ac:dyDescent="0.25">
      <c r="C192" s="52">
        <v>1868000</v>
      </c>
    </row>
    <row r="193" spans="3:3" x14ac:dyDescent="0.25">
      <c r="C193" s="52">
        <v>10313000</v>
      </c>
    </row>
    <row r="194" spans="3:3" x14ac:dyDescent="0.25">
      <c r="C194" s="52">
        <v>3443800</v>
      </c>
    </row>
    <row r="195" spans="3:3" x14ac:dyDescent="0.25">
      <c r="C195" s="52">
        <v>8136400</v>
      </c>
    </row>
    <row r="196" spans="3:3" x14ac:dyDescent="0.25">
      <c r="C196" s="52">
        <v>9675183</v>
      </c>
    </row>
    <row r="197" spans="3:3" x14ac:dyDescent="0.25">
      <c r="C197" s="52">
        <f>SUM(C181:C196)</f>
        <v>70598556</v>
      </c>
    </row>
  </sheetData>
  <mergeCells count="7">
    <mergeCell ref="D140:X140"/>
    <mergeCell ref="C1:U1"/>
    <mergeCell ref="E2:K2"/>
    <mergeCell ref="L2:T2"/>
    <mergeCell ref="A3:A46"/>
    <mergeCell ref="A47:A104"/>
    <mergeCell ref="E139:Q1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1B0E-4474-4801-AF9C-BC80CD5E0360}">
  <dimension ref="A1:AB201"/>
  <sheetViews>
    <sheetView workbookViewId="0">
      <selection activeCell="H15" sqref="H15"/>
    </sheetView>
  </sheetViews>
  <sheetFormatPr baseColWidth="10" defaultRowHeight="12" x14ac:dyDescent="0.25"/>
  <cols>
    <col min="1" max="1" width="10.42578125" style="45" customWidth="1"/>
    <col min="2" max="2" width="4.85546875" style="45" customWidth="1"/>
    <col min="3" max="3" width="32.7109375" style="52" customWidth="1"/>
    <col min="4" max="4" width="8.5703125" style="45" customWidth="1"/>
    <col min="5" max="5" width="10.85546875" style="47" customWidth="1"/>
    <col min="6" max="6" width="4.42578125" style="47" customWidth="1"/>
    <col min="7" max="7" width="13" style="47" customWidth="1"/>
    <col min="8" max="8" width="11.28515625" style="47" bestFit="1" customWidth="1"/>
    <col min="9" max="10" width="12.28515625" style="47" bestFit="1" customWidth="1"/>
    <col min="11" max="11" width="13.28515625" style="47" bestFit="1" customWidth="1"/>
    <col min="12" max="13" width="12.28515625" style="47" bestFit="1" customWidth="1"/>
    <col min="14" max="14" width="9.85546875" style="47" bestFit="1" customWidth="1"/>
    <col min="15" max="16" width="11.28515625" style="47" bestFit="1" customWidth="1"/>
    <col min="17" max="17" width="12.28515625" style="47" bestFit="1" customWidth="1"/>
    <col min="18" max="18" width="11.28515625" style="47" bestFit="1" customWidth="1"/>
    <col min="19" max="20" width="12.28515625" style="47" bestFit="1" customWidth="1"/>
    <col min="21" max="21" width="13.42578125" style="45" customWidth="1"/>
    <col min="22" max="22" width="4.42578125" style="45" customWidth="1"/>
    <col min="23" max="23" width="7.28515625" style="56" customWidth="1"/>
    <col min="24" max="24" width="14.28515625" style="45" customWidth="1"/>
    <col min="25" max="246" width="11.42578125" style="45"/>
    <col min="247" max="247" width="10.5703125" style="45" customWidth="1"/>
    <col min="248" max="248" width="4.85546875" style="45" customWidth="1"/>
    <col min="249" max="249" width="32.42578125" style="45" customWidth="1"/>
    <col min="250" max="250" width="9.85546875" style="45" customWidth="1"/>
    <col min="251" max="251" width="10.140625" style="45" customWidth="1"/>
    <col min="252" max="252" width="12.28515625" style="45" customWidth="1"/>
    <col min="253" max="253" width="15.42578125" style="45" customWidth="1"/>
    <col min="254" max="254" width="11.85546875" style="45" customWidth="1"/>
    <col min="255" max="255" width="13.28515625" style="45" customWidth="1"/>
    <col min="256" max="256" width="15.28515625" style="45" customWidth="1"/>
    <col min="257" max="257" width="11.85546875" style="45" customWidth="1"/>
    <col min="258" max="258" width="6.140625" style="45" customWidth="1"/>
    <col min="259" max="259" width="11.85546875" style="45" customWidth="1"/>
    <col min="260" max="260" width="9.42578125" style="45" customWidth="1"/>
    <col min="261" max="261" width="14.7109375" style="45" customWidth="1"/>
    <col min="262" max="262" width="11.5703125" style="45" customWidth="1"/>
    <col min="263" max="263" width="0.42578125" style="45" customWidth="1"/>
    <col min="264" max="264" width="10.5703125" style="45" bestFit="1" customWidth="1"/>
    <col min="265" max="265" width="12.28515625" style="45" customWidth="1"/>
    <col min="266" max="266" width="12.5703125" style="45" customWidth="1"/>
    <col min="267" max="267" width="10.5703125" style="45" customWidth="1"/>
    <col min="268" max="268" width="10.140625" style="45" customWidth="1"/>
    <col min="269" max="269" width="8.42578125" style="45" customWidth="1"/>
    <col min="270" max="270" width="18.85546875" style="45" customWidth="1"/>
    <col min="271" max="271" width="10.28515625" style="45" customWidth="1"/>
    <col min="272" max="272" width="11.42578125" style="45"/>
    <col min="273" max="273" width="12.140625" style="45" customWidth="1"/>
    <col min="274" max="274" width="10.5703125" style="45" customWidth="1"/>
    <col min="275" max="275" width="12.42578125" style="45" customWidth="1"/>
    <col min="276" max="276" width="15.140625" style="45" customWidth="1"/>
    <col min="277" max="277" width="13.5703125" style="45" customWidth="1"/>
    <col min="278" max="278" width="13.140625" style="45" customWidth="1"/>
    <col min="279" max="279" width="15.7109375" style="45" customWidth="1"/>
    <col min="280" max="280" width="37.5703125" style="45" customWidth="1"/>
    <col min="281" max="502" width="11.42578125" style="45"/>
    <col min="503" max="503" width="10.5703125" style="45" customWidth="1"/>
    <col min="504" max="504" width="4.85546875" style="45" customWidth="1"/>
    <col min="505" max="505" width="32.42578125" style="45" customWidth="1"/>
    <col min="506" max="506" width="9.85546875" style="45" customWidth="1"/>
    <col min="507" max="507" width="10.140625" style="45" customWidth="1"/>
    <col min="508" max="508" width="12.28515625" style="45" customWidth="1"/>
    <col min="509" max="509" width="15.42578125" style="45" customWidth="1"/>
    <col min="510" max="510" width="11.85546875" style="45" customWidth="1"/>
    <col min="511" max="511" width="13.28515625" style="45" customWidth="1"/>
    <col min="512" max="512" width="15.28515625" style="45" customWidth="1"/>
    <col min="513" max="513" width="11.85546875" style="45" customWidth="1"/>
    <col min="514" max="514" width="6.140625" style="45" customWidth="1"/>
    <col min="515" max="515" width="11.85546875" style="45" customWidth="1"/>
    <col min="516" max="516" width="9.42578125" style="45" customWidth="1"/>
    <col min="517" max="517" width="14.7109375" style="45" customWidth="1"/>
    <col min="518" max="518" width="11.5703125" style="45" customWidth="1"/>
    <col min="519" max="519" width="0.42578125" style="45" customWidth="1"/>
    <col min="520" max="520" width="10.5703125" style="45" bestFit="1" customWidth="1"/>
    <col min="521" max="521" width="12.28515625" style="45" customWidth="1"/>
    <col min="522" max="522" width="12.5703125" style="45" customWidth="1"/>
    <col min="523" max="523" width="10.5703125" style="45" customWidth="1"/>
    <col min="524" max="524" width="10.140625" style="45" customWidth="1"/>
    <col min="525" max="525" width="8.42578125" style="45" customWidth="1"/>
    <col min="526" max="526" width="18.85546875" style="45" customWidth="1"/>
    <col min="527" max="527" width="10.28515625" style="45" customWidth="1"/>
    <col min="528" max="528" width="11.42578125" style="45"/>
    <col min="529" max="529" width="12.140625" style="45" customWidth="1"/>
    <col min="530" max="530" width="10.5703125" style="45" customWidth="1"/>
    <col min="531" max="531" width="12.42578125" style="45" customWidth="1"/>
    <col min="532" max="532" width="15.140625" style="45" customWidth="1"/>
    <col min="533" max="533" width="13.5703125" style="45" customWidth="1"/>
    <col min="534" max="534" width="13.140625" style="45" customWidth="1"/>
    <col min="535" max="535" width="15.7109375" style="45" customWidth="1"/>
    <col min="536" max="536" width="37.5703125" style="45" customWidth="1"/>
    <col min="537" max="758" width="11.42578125" style="45"/>
    <col min="759" max="759" width="10.5703125" style="45" customWidth="1"/>
    <col min="760" max="760" width="4.85546875" style="45" customWidth="1"/>
    <col min="761" max="761" width="32.42578125" style="45" customWidth="1"/>
    <col min="762" max="762" width="9.85546875" style="45" customWidth="1"/>
    <col min="763" max="763" width="10.140625" style="45" customWidth="1"/>
    <col min="764" max="764" width="12.28515625" style="45" customWidth="1"/>
    <col min="765" max="765" width="15.42578125" style="45" customWidth="1"/>
    <col min="766" max="766" width="11.85546875" style="45" customWidth="1"/>
    <col min="767" max="767" width="13.28515625" style="45" customWidth="1"/>
    <col min="768" max="768" width="15.28515625" style="45" customWidth="1"/>
    <col min="769" max="769" width="11.85546875" style="45" customWidth="1"/>
    <col min="770" max="770" width="6.140625" style="45" customWidth="1"/>
    <col min="771" max="771" width="11.85546875" style="45" customWidth="1"/>
    <col min="772" max="772" width="9.42578125" style="45" customWidth="1"/>
    <col min="773" max="773" width="14.7109375" style="45" customWidth="1"/>
    <col min="774" max="774" width="11.5703125" style="45" customWidth="1"/>
    <col min="775" max="775" width="0.42578125" style="45" customWidth="1"/>
    <col min="776" max="776" width="10.5703125" style="45" bestFit="1" customWidth="1"/>
    <col min="777" max="777" width="12.28515625" style="45" customWidth="1"/>
    <col min="778" max="778" width="12.5703125" style="45" customWidth="1"/>
    <col min="779" max="779" width="10.5703125" style="45" customWidth="1"/>
    <col min="780" max="780" width="10.140625" style="45" customWidth="1"/>
    <col min="781" max="781" width="8.42578125" style="45" customWidth="1"/>
    <col min="782" max="782" width="18.85546875" style="45" customWidth="1"/>
    <col min="783" max="783" width="10.28515625" style="45" customWidth="1"/>
    <col min="784" max="784" width="11.42578125" style="45"/>
    <col min="785" max="785" width="12.140625" style="45" customWidth="1"/>
    <col min="786" max="786" width="10.5703125" style="45" customWidth="1"/>
    <col min="787" max="787" width="12.42578125" style="45" customWidth="1"/>
    <col min="788" max="788" width="15.140625" style="45" customWidth="1"/>
    <col min="789" max="789" width="13.5703125" style="45" customWidth="1"/>
    <col min="790" max="790" width="13.140625" style="45" customWidth="1"/>
    <col min="791" max="791" width="15.7109375" style="45" customWidth="1"/>
    <col min="792" max="792" width="37.5703125" style="45" customWidth="1"/>
    <col min="793" max="1014" width="11.42578125" style="45"/>
    <col min="1015" max="1015" width="10.5703125" style="45" customWidth="1"/>
    <col min="1016" max="1016" width="4.85546875" style="45" customWidth="1"/>
    <col min="1017" max="1017" width="32.42578125" style="45" customWidth="1"/>
    <col min="1018" max="1018" width="9.85546875" style="45" customWidth="1"/>
    <col min="1019" max="1019" width="10.140625" style="45" customWidth="1"/>
    <col min="1020" max="1020" width="12.28515625" style="45" customWidth="1"/>
    <col min="1021" max="1021" width="15.42578125" style="45" customWidth="1"/>
    <col min="1022" max="1022" width="11.85546875" style="45" customWidth="1"/>
    <col min="1023" max="1023" width="13.28515625" style="45" customWidth="1"/>
    <col min="1024" max="1024" width="15.28515625" style="45" customWidth="1"/>
    <col min="1025" max="1025" width="11.85546875" style="45" customWidth="1"/>
    <col min="1026" max="1026" width="6.140625" style="45" customWidth="1"/>
    <col min="1027" max="1027" width="11.85546875" style="45" customWidth="1"/>
    <col min="1028" max="1028" width="9.42578125" style="45" customWidth="1"/>
    <col min="1029" max="1029" width="14.7109375" style="45" customWidth="1"/>
    <col min="1030" max="1030" width="11.5703125" style="45" customWidth="1"/>
    <col min="1031" max="1031" width="0.42578125" style="45" customWidth="1"/>
    <col min="1032" max="1032" width="10.5703125" style="45" bestFit="1" customWidth="1"/>
    <col min="1033" max="1033" width="12.28515625" style="45" customWidth="1"/>
    <col min="1034" max="1034" width="12.5703125" style="45" customWidth="1"/>
    <col min="1035" max="1035" width="10.5703125" style="45" customWidth="1"/>
    <col min="1036" max="1036" width="10.140625" style="45" customWidth="1"/>
    <col min="1037" max="1037" width="8.42578125" style="45" customWidth="1"/>
    <col min="1038" max="1038" width="18.85546875" style="45" customWidth="1"/>
    <col min="1039" max="1039" width="10.28515625" style="45" customWidth="1"/>
    <col min="1040" max="1040" width="11.42578125" style="45"/>
    <col min="1041" max="1041" width="12.140625" style="45" customWidth="1"/>
    <col min="1042" max="1042" width="10.5703125" style="45" customWidth="1"/>
    <col min="1043" max="1043" width="12.42578125" style="45" customWidth="1"/>
    <col min="1044" max="1044" width="15.140625" style="45" customWidth="1"/>
    <col min="1045" max="1045" width="13.5703125" style="45" customWidth="1"/>
    <col min="1046" max="1046" width="13.140625" style="45" customWidth="1"/>
    <col min="1047" max="1047" width="15.7109375" style="45" customWidth="1"/>
    <col min="1048" max="1048" width="37.5703125" style="45" customWidth="1"/>
    <col min="1049" max="1270" width="11.42578125" style="45"/>
    <col min="1271" max="1271" width="10.5703125" style="45" customWidth="1"/>
    <col min="1272" max="1272" width="4.85546875" style="45" customWidth="1"/>
    <col min="1273" max="1273" width="32.42578125" style="45" customWidth="1"/>
    <col min="1274" max="1274" width="9.85546875" style="45" customWidth="1"/>
    <col min="1275" max="1275" width="10.140625" style="45" customWidth="1"/>
    <col min="1276" max="1276" width="12.28515625" style="45" customWidth="1"/>
    <col min="1277" max="1277" width="15.42578125" style="45" customWidth="1"/>
    <col min="1278" max="1278" width="11.85546875" style="45" customWidth="1"/>
    <col min="1279" max="1279" width="13.28515625" style="45" customWidth="1"/>
    <col min="1280" max="1280" width="15.28515625" style="45" customWidth="1"/>
    <col min="1281" max="1281" width="11.85546875" style="45" customWidth="1"/>
    <col min="1282" max="1282" width="6.140625" style="45" customWidth="1"/>
    <col min="1283" max="1283" width="11.85546875" style="45" customWidth="1"/>
    <col min="1284" max="1284" width="9.42578125" style="45" customWidth="1"/>
    <col min="1285" max="1285" width="14.7109375" style="45" customWidth="1"/>
    <col min="1286" max="1286" width="11.5703125" style="45" customWidth="1"/>
    <col min="1287" max="1287" width="0.42578125" style="45" customWidth="1"/>
    <col min="1288" max="1288" width="10.5703125" style="45" bestFit="1" customWidth="1"/>
    <col min="1289" max="1289" width="12.28515625" style="45" customWidth="1"/>
    <col min="1290" max="1290" width="12.5703125" style="45" customWidth="1"/>
    <col min="1291" max="1291" width="10.5703125" style="45" customWidth="1"/>
    <col min="1292" max="1292" width="10.140625" style="45" customWidth="1"/>
    <col min="1293" max="1293" width="8.42578125" style="45" customWidth="1"/>
    <col min="1294" max="1294" width="18.85546875" style="45" customWidth="1"/>
    <col min="1295" max="1295" width="10.28515625" style="45" customWidth="1"/>
    <col min="1296" max="1296" width="11.42578125" style="45"/>
    <col min="1297" max="1297" width="12.140625" style="45" customWidth="1"/>
    <col min="1298" max="1298" width="10.5703125" style="45" customWidth="1"/>
    <col min="1299" max="1299" width="12.42578125" style="45" customWidth="1"/>
    <col min="1300" max="1300" width="15.140625" style="45" customWidth="1"/>
    <col min="1301" max="1301" width="13.5703125" style="45" customWidth="1"/>
    <col min="1302" max="1302" width="13.140625" style="45" customWidth="1"/>
    <col min="1303" max="1303" width="15.7109375" style="45" customWidth="1"/>
    <col min="1304" max="1304" width="37.5703125" style="45" customWidth="1"/>
    <col min="1305" max="1526" width="11.42578125" style="45"/>
    <col min="1527" max="1527" width="10.5703125" style="45" customWidth="1"/>
    <col min="1528" max="1528" width="4.85546875" style="45" customWidth="1"/>
    <col min="1529" max="1529" width="32.42578125" style="45" customWidth="1"/>
    <col min="1530" max="1530" width="9.85546875" style="45" customWidth="1"/>
    <col min="1531" max="1531" width="10.140625" style="45" customWidth="1"/>
    <col min="1532" max="1532" width="12.28515625" style="45" customWidth="1"/>
    <col min="1533" max="1533" width="15.42578125" style="45" customWidth="1"/>
    <col min="1534" max="1534" width="11.85546875" style="45" customWidth="1"/>
    <col min="1535" max="1535" width="13.28515625" style="45" customWidth="1"/>
    <col min="1536" max="1536" width="15.28515625" style="45" customWidth="1"/>
    <col min="1537" max="1537" width="11.85546875" style="45" customWidth="1"/>
    <col min="1538" max="1538" width="6.140625" style="45" customWidth="1"/>
    <col min="1539" max="1539" width="11.85546875" style="45" customWidth="1"/>
    <col min="1540" max="1540" width="9.42578125" style="45" customWidth="1"/>
    <col min="1541" max="1541" width="14.7109375" style="45" customWidth="1"/>
    <col min="1542" max="1542" width="11.5703125" style="45" customWidth="1"/>
    <col min="1543" max="1543" width="0.42578125" style="45" customWidth="1"/>
    <col min="1544" max="1544" width="10.5703125" style="45" bestFit="1" customWidth="1"/>
    <col min="1545" max="1545" width="12.28515625" style="45" customWidth="1"/>
    <col min="1546" max="1546" width="12.5703125" style="45" customWidth="1"/>
    <col min="1547" max="1547" width="10.5703125" style="45" customWidth="1"/>
    <col min="1548" max="1548" width="10.140625" style="45" customWidth="1"/>
    <col min="1549" max="1549" width="8.42578125" style="45" customWidth="1"/>
    <col min="1550" max="1550" width="18.85546875" style="45" customWidth="1"/>
    <col min="1551" max="1551" width="10.28515625" style="45" customWidth="1"/>
    <col min="1552" max="1552" width="11.42578125" style="45"/>
    <col min="1553" max="1553" width="12.140625" style="45" customWidth="1"/>
    <col min="1554" max="1554" width="10.5703125" style="45" customWidth="1"/>
    <col min="1555" max="1555" width="12.42578125" style="45" customWidth="1"/>
    <col min="1556" max="1556" width="15.140625" style="45" customWidth="1"/>
    <col min="1557" max="1557" width="13.5703125" style="45" customWidth="1"/>
    <col min="1558" max="1558" width="13.140625" style="45" customWidth="1"/>
    <col min="1559" max="1559" width="15.7109375" style="45" customWidth="1"/>
    <col min="1560" max="1560" width="37.5703125" style="45" customWidth="1"/>
    <col min="1561" max="1782" width="11.42578125" style="45"/>
    <col min="1783" max="1783" width="10.5703125" style="45" customWidth="1"/>
    <col min="1784" max="1784" width="4.85546875" style="45" customWidth="1"/>
    <col min="1785" max="1785" width="32.42578125" style="45" customWidth="1"/>
    <col min="1786" max="1786" width="9.85546875" style="45" customWidth="1"/>
    <col min="1787" max="1787" width="10.140625" style="45" customWidth="1"/>
    <col min="1788" max="1788" width="12.28515625" style="45" customWidth="1"/>
    <col min="1789" max="1789" width="15.42578125" style="45" customWidth="1"/>
    <col min="1790" max="1790" width="11.85546875" style="45" customWidth="1"/>
    <col min="1791" max="1791" width="13.28515625" style="45" customWidth="1"/>
    <col min="1792" max="1792" width="15.28515625" style="45" customWidth="1"/>
    <col min="1793" max="1793" width="11.85546875" style="45" customWidth="1"/>
    <col min="1794" max="1794" width="6.140625" style="45" customWidth="1"/>
    <col min="1795" max="1795" width="11.85546875" style="45" customWidth="1"/>
    <col min="1796" max="1796" width="9.42578125" style="45" customWidth="1"/>
    <col min="1797" max="1797" width="14.7109375" style="45" customWidth="1"/>
    <col min="1798" max="1798" width="11.5703125" style="45" customWidth="1"/>
    <col min="1799" max="1799" width="0.42578125" style="45" customWidth="1"/>
    <col min="1800" max="1800" width="10.5703125" style="45" bestFit="1" customWidth="1"/>
    <col min="1801" max="1801" width="12.28515625" style="45" customWidth="1"/>
    <col min="1802" max="1802" width="12.5703125" style="45" customWidth="1"/>
    <col min="1803" max="1803" width="10.5703125" style="45" customWidth="1"/>
    <col min="1804" max="1804" width="10.140625" style="45" customWidth="1"/>
    <col min="1805" max="1805" width="8.42578125" style="45" customWidth="1"/>
    <col min="1806" max="1806" width="18.85546875" style="45" customWidth="1"/>
    <col min="1807" max="1807" width="10.28515625" style="45" customWidth="1"/>
    <col min="1808" max="1808" width="11.42578125" style="45"/>
    <col min="1809" max="1809" width="12.140625" style="45" customWidth="1"/>
    <col min="1810" max="1810" width="10.5703125" style="45" customWidth="1"/>
    <col min="1811" max="1811" width="12.42578125" style="45" customWidth="1"/>
    <col min="1812" max="1812" width="15.140625" style="45" customWidth="1"/>
    <col min="1813" max="1813" width="13.5703125" style="45" customWidth="1"/>
    <col min="1814" max="1814" width="13.140625" style="45" customWidth="1"/>
    <col min="1815" max="1815" width="15.7109375" style="45" customWidth="1"/>
    <col min="1816" max="1816" width="37.5703125" style="45" customWidth="1"/>
    <col min="1817" max="2038" width="11.42578125" style="45"/>
    <col min="2039" max="2039" width="10.5703125" style="45" customWidth="1"/>
    <col min="2040" max="2040" width="4.85546875" style="45" customWidth="1"/>
    <col min="2041" max="2041" width="32.42578125" style="45" customWidth="1"/>
    <col min="2042" max="2042" width="9.85546875" style="45" customWidth="1"/>
    <col min="2043" max="2043" width="10.140625" style="45" customWidth="1"/>
    <col min="2044" max="2044" width="12.28515625" style="45" customWidth="1"/>
    <col min="2045" max="2045" width="15.42578125" style="45" customWidth="1"/>
    <col min="2046" max="2046" width="11.85546875" style="45" customWidth="1"/>
    <col min="2047" max="2047" width="13.28515625" style="45" customWidth="1"/>
    <col min="2048" max="2048" width="15.28515625" style="45" customWidth="1"/>
    <col min="2049" max="2049" width="11.85546875" style="45" customWidth="1"/>
    <col min="2050" max="2050" width="6.140625" style="45" customWidth="1"/>
    <col min="2051" max="2051" width="11.85546875" style="45" customWidth="1"/>
    <col min="2052" max="2052" width="9.42578125" style="45" customWidth="1"/>
    <col min="2053" max="2053" width="14.7109375" style="45" customWidth="1"/>
    <col min="2054" max="2054" width="11.5703125" style="45" customWidth="1"/>
    <col min="2055" max="2055" width="0.42578125" style="45" customWidth="1"/>
    <col min="2056" max="2056" width="10.5703125" style="45" bestFit="1" customWidth="1"/>
    <col min="2057" max="2057" width="12.28515625" style="45" customWidth="1"/>
    <col min="2058" max="2058" width="12.5703125" style="45" customWidth="1"/>
    <col min="2059" max="2059" width="10.5703125" style="45" customWidth="1"/>
    <col min="2060" max="2060" width="10.140625" style="45" customWidth="1"/>
    <col min="2061" max="2061" width="8.42578125" style="45" customWidth="1"/>
    <col min="2062" max="2062" width="18.85546875" style="45" customWidth="1"/>
    <col min="2063" max="2063" width="10.28515625" style="45" customWidth="1"/>
    <col min="2064" max="2064" width="11.42578125" style="45"/>
    <col min="2065" max="2065" width="12.140625" style="45" customWidth="1"/>
    <col min="2066" max="2066" width="10.5703125" style="45" customWidth="1"/>
    <col min="2067" max="2067" width="12.42578125" style="45" customWidth="1"/>
    <col min="2068" max="2068" width="15.140625" style="45" customWidth="1"/>
    <col min="2069" max="2069" width="13.5703125" style="45" customWidth="1"/>
    <col min="2070" max="2070" width="13.140625" style="45" customWidth="1"/>
    <col min="2071" max="2071" width="15.7109375" style="45" customWidth="1"/>
    <col min="2072" max="2072" width="37.5703125" style="45" customWidth="1"/>
    <col min="2073" max="2294" width="11.42578125" style="45"/>
    <col min="2295" max="2295" width="10.5703125" style="45" customWidth="1"/>
    <col min="2296" max="2296" width="4.85546875" style="45" customWidth="1"/>
    <col min="2297" max="2297" width="32.42578125" style="45" customWidth="1"/>
    <col min="2298" max="2298" width="9.85546875" style="45" customWidth="1"/>
    <col min="2299" max="2299" width="10.140625" style="45" customWidth="1"/>
    <col min="2300" max="2300" width="12.28515625" style="45" customWidth="1"/>
    <col min="2301" max="2301" width="15.42578125" style="45" customWidth="1"/>
    <col min="2302" max="2302" width="11.85546875" style="45" customWidth="1"/>
    <col min="2303" max="2303" width="13.28515625" style="45" customWidth="1"/>
    <col min="2304" max="2304" width="15.28515625" style="45" customWidth="1"/>
    <col min="2305" max="2305" width="11.85546875" style="45" customWidth="1"/>
    <col min="2306" max="2306" width="6.140625" style="45" customWidth="1"/>
    <col min="2307" max="2307" width="11.85546875" style="45" customWidth="1"/>
    <col min="2308" max="2308" width="9.42578125" style="45" customWidth="1"/>
    <col min="2309" max="2309" width="14.7109375" style="45" customWidth="1"/>
    <col min="2310" max="2310" width="11.5703125" style="45" customWidth="1"/>
    <col min="2311" max="2311" width="0.42578125" style="45" customWidth="1"/>
    <col min="2312" max="2312" width="10.5703125" style="45" bestFit="1" customWidth="1"/>
    <col min="2313" max="2313" width="12.28515625" style="45" customWidth="1"/>
    <col min="2314" max="2314" width="12.5703125" style="45" customWidth="1"/>
    <col min="2315" max="2315" width="10.5703125" style="45" customWidth="1"/>
    <col min="2316" max="2316" width="10.140625" style="45" customWidth="1"/>
    <col min="2317" max="2317" width="8.42578125" style="45" customWidth="1"/>
    <col min="2318" max="2318" width="18.85546875" style="45" customWidth="1"/>
    <col min="2319" max="2319" width="10.28515625" style="45" customWidth="1"/>
    <col min="2320" max="2320" width="11.42578125" style="45"/>
    <col min="2321" max="2321" width="12.140625" style="45" customWidth="1"/>
    <col min="2322" max="2322" width="10.5703125" style="45" customWidth="1"/>
    <col min="2323" max="2323" width="12.42578125" style="45" customWidth="1"/>
    <col min="2324" max="2324" width="15.140625" style="45" customWidth="1"/>
    <col min="2325" max="2325" width="13.5703125" style="45" customWidth="1"/>
    <col min="2326" max="2326" width="13.140625" style="45" customWidth="1"/>
    <col min="2327" max="2327" width="15.7109375" style="45" customWidth="1"/>
    <col min="2328" max="2328" width="37.5703125" style="45" customWidth="1"/>
    <col min="2329" max="2550" width="11.42578125" style="45"/>
    <col min="2551" max="2551" width="10.5703125" style="45" customWidth="1"/>
    <col min="2552" max="2552" width="4.85546875" style="45" customWidth="1"/>
    <col min="2553" max="2553" width="32.42578125" style="45" customWidth="1"/>
    <col min="2554" max="2554" width="9.85546875" style="45" customWidth="1"/>
    <col min="2555" max="2555" width="10.140625" style="45" customWidth="1"/>
    <col min="2556" max="2556" width="12.28515625" style="45" customWidth="1"/>
    <col min="2557" max="2557" width="15.42578125" style="45" customWidth="1"/>
    <col min="2558" max="2558" width="11.85546875" style="45" customWidth="1"/>
    <col min="2559" max="2559" width="13.28515625" style="45" customWidth="1"/>
    <col min="2560" max="2560" width="15.28515625" style="45" customWidth="1"/>
    <col min="2561" max="2561" width="11.85546875" style="45" customWidth="1"/>
    <col min="2562" max="2562" width="6.140625" style="45" customWidth="1"/>
    <col min="2563" max="2563" width="11.85546875" style="45" customWidth="1"/>
    <col min="2564" max="2564" width="9.42578125" style="45" customWidth="1"/>
    <col min="2565" max="2565" width="14.7109375" style="45" customWidth="1"/>
    <col min="2566" max="2566" width="11.5703125" style="45" customWidth="1"/>
    <col min="2567" max="2567" width="0.42578125" style="45" customWidth="1"/>
    <col min="2568" max="2568" width="10.5703125" style="45" bestFit="1" customWidth="1"/>
    <col min="2569" max="2569" width="12.28515625" style="45" customWidth="1"/>
    <col min="2570" max="2570" width="12.5703125" style="45" customWidth="1"/>
    <col min="2571" max="2571" width="10.5703125" style="45" customWidth="1"/>
    <col min="2572" max="2572" width="10.140625" style="45" customWidth="1"/>
    <col min="2573" max="2573" width="8.42578125" style="45" customWidth="1"/>
    <col min="2574" max="2574" width="18.85546875" style="45" customWidth="1"/>
    <col min="2575" max="2575" width="10.28515625" style="45" customWidth="1"/>
    <col min="2576" max="2576" width="11.42578125" style="45"/>
    <col min="2577" max="2577" width="12.140625" style="45" customWidth="1"/>
    <col min="2578" max="2578" width="10.5703125" style="45" customWidth="1"/>
    <col min="2579" max="2579" width="12.42578125" style="45" customWidth="1"/>
    <col min="2580" max="2580" width="15.140625" style="45" customWidth="1"/>
    <col min="2581" max="2581" width="13.5703125" style="45" customWidth="1"/>
    <col min="2582" max="2582" width="13.140625" style="45" customWidth="1"/>
    <col min="2583" max="2583" width="15.7109375" style="45" customWidth="1"/>
    <col min="2584" max="2584" width="37.5703125" style="45" customWidth="1"/>
    <col min="2585" max="2806" width="11.42578125" style="45"/>
    <col min="2807" max="2807" width="10.5703125" style="45" customWidth="1"/>
    <col min="2808" max="2808" width="4.85546875" style="45" customWidth="1"/>
    <col min="2809" max="2809" width="32.42578125" style="45" customWidth="1"/>
    <col min="2810" max="2810" width="9.85546875" style="45" customWidth="1"/>
    <col min="2811" max="2811" width="10.140625" style="45" customWidth="1"/>
    <col min="2812" max="2812" width="12.28515625" style="45" customWidth="1"/>
    <col min="2813" max="2813" width="15.42578125" style="45" customWidth="1"/>
    <col min="2814" max="2814" width="11.85546875" style="45" customWidth="1"/>
    <col min="2815" max="2815" width="13.28515625" style="45" customWidth="1"/>
    <col min="2816" max="2816" width="15.28515625" style="45" customWidth="1"/>
    <col min="2817" max="2817" width="11.85546875" style="45" customWidth="1"/>
    <col min="2818" max="2818" width="6.140625" style="45" customWidth="1"/>
    <col min="2819" max="2819" width="11.85546875" style="45" customWidth="1"/>
    <col min="2820" max="2820" width="9.42578125" style="45" customWidth="1"/>
    <col min="2821" max="2821" width="14.7109375" style="45" customWidth="1"/>
    <col min="2822" max="2822" width="11.5703125" style="45" customWidth="1"/>
    <col min="2823" max="2823" width="0.42578125" style="45" customWidth="1"/>
    <col min="2824" max="2824" width="10.5703125" style="45" bestFit="1" customWidth="1"/>
    <col min="2825" max="2825" width="12.28515625" style="45" customWidth="1"/>
    <col min="2826" max="2826" width="12.5703125" style="45" customWidth="1"/>
    <col min="2827" max="2827" width="10.5703125" style="45" customWidth="1"/>
    <col min="2828" max="2828" width="10.140625" style="45" customWidth="1"/>
    <col min="2829" max="2829" width="8.42578125" style="45" customWidth="1"/>
    <col min="2830" max="2830" width="18.85546875" style="45" customWidth="1"/>
    <col min="2831" max="2831" width="10.28515625" style="45" customWidth="1"/>
    <col min="2832" max="2832" width="11.42578125" style="45"/>
    <col min="2833" max="2833" width="12.140625" style="45" customWidth="1"/>
    <col min="2834" max="2834" width="10.5703125" style="45" customWidth="1"/>
    <col min="2835" max="2835" width="12.42578125" style="45" customWidth="1"/>
    <col min="2836" max="2836" width="15.140625" style="45" customWidth="1"/>
    <col min="2837" max="2837" width="13.5703125" style="45" customWidth="1"/>
    <col min="2838" max="2838" width="13.140625" style="45" customWidth="1"/>
    <col min="2839" max="2839" width="15.7109375" style="45" customWidth="1"/>
    <col min="2840" max="2840" width="37.5703125" style="45" customWidth="1"/>
    <col min="2841" max="3062" width="11.42578125" style="45"/>
    <col min="3063" max="3063" width="10.5703125" style="45" customWidth="1"/>
    <col min="3064" max="3064" width="4.85546875" style="45" customWidth="1"/>
    <col min="3065" max="3065" width="32.42578125" style="45" customWidth="1"/>
    <col min="3066" max="3066" width="9.85546875" style="45" customWidth="1"/>
    <col min="3067" max="3067" width="10.140625" style="45" customWidth="1"/>
    <col min="3068" max="3068" width="12.28515625" style="45" customWidth="1"/>
    <col min="3069" max="3069" width="15.42578125" style="45" customWidth="1"/>
    <col min="3070" max="3070" width="11.85546875" style="45" customWidth="1"/>
    <col min="3071" max="3071" width="13.28515625" style="45" customWidth="1"/>
    <col min="3072" max="3072" width="15.28515625" style="45" customWidth="1"/>
    <col min="3073" max="3073" width="11.85546875" style="45" customWidth="1"/>
    <col min="3074" max="3074" width="6.140625" style="45" customWidth="1"/>
    <col min="3075" max="3075" width="11.85546875" style="45" customWidth="1"/>
    <col min="3076" max="3076" width="9.42578125" style="45" customWidth="1"/>
    <col min="3077" max="3077" width="14.7109375" style="45" customWidth="1"/>
    <col min="3078" max="3078" width="11.5703125" style="45" customWidth="1"/>
    <col min="3079" max="3079" width="0.42578125" style="45" customWidth="1"/>
    <col min="3080" max="3080" width="10.5703125" style="45" bestFit="1" customWidth="1"/>
    <col min="3081" max="3081" width="12.28515625" style="45" customWidth="1"/>
    <col min="3082" max="3082" width="12.5703125" style="45" customWidth="1"/>
    <col min="3083" max="3083" width="10.5703125" style="45" customWidth="1"/>
    <col min="3084" max="3084" width="10.140625" style="45" customWidth="1"/>
    <col min="3085" max="3085" width="8.42578125" style="45" customWidth="1"/>
    <col min="3086" max="3086" width="18.85546875" style="45" customWidth="1"/>
    <col min="3087" max="3087" width="10.28515625" style="45" customWidth="1"/>
    <col min="3088" max="3088" width="11.42578125" style="45"/>
    <col min="3089" max="3089" width="12.140625" style="45" customWidth="1"/>
    <col min="3090" max="3090" width="10.5703125" style="45" customWidth="1"/>
    <col min="3091" max="3091" width="12.42578125" style="45" customWidth="1"/>
    <col min="3092" max="3092" width="15.140625" style="45" customWidth="1"/>
    <col min="3093" max="3093" width="13.5703125" style="45" customWidth="1"/>
    <col min="3094" max="3094" width="13.140625" style="45" customWidth="1"/>
    <col min="3095" max="3095" width="15.7109375" style="45" customWidth="1"/>
    <col min="3096" max="3096" width="37.5703125" style="45" customWidth="1"/>
    <col min="3097" max="3318" width="11.42578125" style="45"/>
    <col min="3319" max="3319" width="10.5703125" style="45" customWidth="1"/>
    <col min="3320" max="3320" width="4.85546875" style="45" customWidth="1"/>
    <col min="3321" max="3321" width="32.42578125" style="45" customWidth="1"/>
    <col min="3322" max="3322" width="9.85546875" style="45" customWidth="1"/>
    <col min="3323" max="3323" width="10.140625" style="45" customWidth="1"/>
    <col min="3324" max="3324" width="12.28515625" style="45" customWidth="1"/>
    <col min="3325" max="3325" width="15.42578125" style="45" customWidth="1"/>
    <col min="3326" max="3326" width="11.85546875" style="45" customWidth="1"/>
    <col min="3327" max="3327" width="13.28515625" style="45" customWidth="1"/>
    <col min="3328" max="3328" width="15.28515625" style="45" customWidth="1"/>
    <col min="3329" max="3329" width="11.85546875" style="45" customWidth="1"/>
    <col min="3330" max="3330" width="6.140625" style="45" customWidth="1"/>
    <col min="3331" max="3331" width="11.85546875" style="45" customWidth="1"/>
    <col min="3332" max="3332" width="9.42578125" style="45" customWidth="1"/>
    <col min="3333" max="3333" width="14.7109375" style="45" customWidth="1"/>
    <col min="3334" max="3334" width="11.5703125" style="45" customWidth="1"/>
    <col min="3335" max="3335" width="0.42578125" style="45" customWidth="1"/>
    <col min="3336" max="3336" width="10.5703125" style="45" bestFit="1" customWidth="1"/>
    <col min="3337" max="3337" width="12.28515625" style="45" customWidth="1"/>
    <col min="3338" max="3338" width="12.5703125" style="45" customWidth="1"/>
    <col min="3339" max="3339" width="10.5703125" style="45" customWidth="1"/>
    <col min="3340" max="3340" width="10.140625" style="45" customWidth="1"/>
    <col min="3341" max="3341" width="8.42578125" style="45" customWidth="1"/>
    <col min="3342" max="3342" width="18.85546875" style="45" customWidth="1"/>
    <col min="3343" max="3343" width="10.28515625" style="45" customWidth="1"/>
    <col min="3344" max="3344" width="11.42578125" style="45"/>
    <col min="3345" max="3345" width="12.140625" style="45" customWidth="1"/>
    <col min="3346" max="3346" width="10.5703125" style="45" customWidth="1"/>
    <col min="3347" max="3347" width="12.42578125" style="45" customWidth="1"/>
    <col min="3348" max="3348" width="15.140625" style="45" customWidth="1"/>
    <col min="3349" max="3349" width="13.5703125" style="45" customWidth="1"/>
    <col min="3350" max="3350" width="13.140625" style="45" customWidth="1"/>
    <col min="3351" max="3351" width="15.7109375" style="45" customWidth="1"/>
    <col min="3352" max="3352" width="37.5703125" style="45" customWidth="1"/>
    <col min="3353" max="3574" width="11.42578125" style="45"/>
    <col min="3575" max="3575" width="10.5703125" style="45" customWidth="1"/>
    <col min="3576" max="3576" width="4.85546875" style="45" customWidth="1"/>
    <col min="3577" max="3577" width="32.42578125" style="45" customWidth="1"/>
    <col min="3578" max="3578" width="9.85546875" style="45" customWidth="1"/>
    <col min="3579" max="3579" width="10.140625" style="45" customWidth="1"/>
    <col min="3580" max="3580" width="12.28515625" style="45" customWidth="1"/>
    <col min="3581" max="3581" width="15.42578125" style="45" customWidth="1"/>
    <col min="3582" max="3582" width="11.85546875" style="45" customWidth="1"/>
    <col min="3583" max="3583" width="13.28515625" style="45" customWidth="1"/>
    <col min="3584" max="3584" width="15.28515625" style="45" customWidth="1"/>
    <col min="3585" max="3585" width="11.85546875" style="45" customWidth="1"/>
    <col min="3586" max="3586" width="6.140625" style="45" customWidth="1"/>
    <col min="3587" max="3587" width="11.85546875" style="45" customWidth="1"/>
    <col min="3588" max="3588" width="9.42578125" style="45" customWidth="1"/>
    <col min="3589" max="3589" width="14.7109375" style="45" customWidth="1"/>
    <col min="3590" max="3590" width="11.5703125" style="45" customWidth="1"/>
    <col min="3591" max="3591" width="0.42578125" style="45" customWidth="1"/>
    <col min="3592" max="3592" width="10.5703125" style="45" bestFit="1" customWidth="1"/>
    <col min="3593" max="3593" width="12.28515625" style="45" customWidth="1"/>
    <col min="3594" max="3594" width="12.5703125" style="45" customWidth="1"/>
    <col min="3595" max="3595" width="10.5703125" style="45" customWidth="1"/>
    <col min="3596" max="3596" width="10.140625" style="45" customWidth="1"/>
    <col min="3597" max="3597" width="8.42578125" style="45" customWidth="1"/>
    <col min="3598" max="3598" width="18.85546875" style="45" customWidth="1"/>
    <col min="3599" max="3599" width="10.28515625" style="45" customWidth="1"/>
    <col min="3600" max="3600" width="11.42578125" style="45"/>
    <col min="3601" max="3601" width="12.140625" style="45" customWidth="1"/>
    <col min="3602" max="3602" width="10.5703125" style="45" customWidth="1"/>
    <col min="3603" max="3603" width="12.42578125" style="45" customWidth="1"/>
    <col min="3604" max="3604" width="15.140625" style="45" customWidth="1"/>
    <col min="3605" max="3605" width="13.5703125" style="45" customWidth="1"/>
    <col min="3606" max="3606" width="13.140625" style="45" customWidth="1"/>
    <col min="3607" max="3607" width="15.7109375" style="45" customWidth="1"/>
    <col min="3608" max="3608" width="37.5703125" style="45" customWidth="1"/>
    <col min="3609" max="3830" width="11.42578125" style="45"/>
    <col min="3831" max="3831" width="10.5703125" style="45" customWidth="1"/>
    <col min="3832" max="3832" width="4.85546875" style="45" customWidth="1"/>
    <col min="3833" max="3833" width="32.42578125" style="45" customWidth="1"/>
    <col min="3834" max="3834" width="9.85546875" style="45" customWidth="1"/>
    <col min="3835" max="3835" width="10.140625" style="45" customWidth="1"/>
    <col min="3836" max="3836" width="12.28515625" style="45" customWidth="1"/>
    <col min="3837" max="3837" width="15.42578125" style="45" customWidth="1"/>
    <col min="3838" max="3838" width="11.85546875" style="45" customWidth="1"/>
    <col min="3839" max="3839" width="13.28515625" style="45" customWidth="1"/>
    <col min="3840" max="3840" width="15.28515625" style="45" customWidth="1"/>
    <col min="3841" max="3841" width="11.85546875" style="45" customWidth="1"/>
    <col min="3842" max="3842" width="6.140625" style="45" customWidth="1"/>
    <col min="3843" max="3843" width="11.85546875" style="45" customWidth="1"/>
    <col min="3844" max="3844" width="9.42578125" style="45" customWidth="1"/>
    <col min="3845" max="3845" width="14.7109375" style="45" customWidth="1"/>
    <col min="3846" max="3846" width="11.5703125" style="45" customWidth="1"/>
    <col min="3847" max="3847" width="0.42578125" style="45" customWidth="1"/>
    <col min="3848" max="3848" width="10.5703125" style="45" bestFit="1" customWidth="1"/>
    <col min="3849" max="3849" width="12.28515625" style="45" customWidth="1"/>
    <col min="3850" max="3850" width="12.5703125" style="45" customWidth="1"/>
    <col min="3851" max="3851" width="10.5703125" style="45" customWidth="1"/>
    <col min="3852" max="3852" width="10.140625" style="45" customWidth="1"/>
    <col min="3853" max="3853" width="8.42578125" style="45" customWidth="1"/>
    <col min="3854" max="3854" width="18.85546875" style="45" customWidth="1"/>
    <col min="3855" max="3855" width="10.28515625" style="45" customWidth="1"/>
    <col min="3856" max="3856" width="11.42578125" style="45"/>
    <col min="3857" max="3857" width="12.140625" style="45" customWidth="1"/>
    <col min="3858" max="3858" width="10.5703125" style="45" customWidth="1"/>
    <col min="3859" max="3859" width="12.42578125" style="45" customWidth="1"/>
    <col min="3860" max="3860" width="15.140625" style="45" customWidth="1"/>
    <col min="3861" max="3861" width="13.5703125" style="45" customWidth="1"/>
    <col min="3862" max="3862" width="13.140625" style="45" customWidth="1"/>
    <col min="3863" max="3863" width="15.7109375" style="45" customWidth="1"/>
    <col min="3864" max="3864" width="37.5703125" style="45" customWidth="1"/>
    <col min="3865" max="4086" width="11.42578125" style="45"/>
    <col min="4087" max="4087" width="10.5703125" style="45" customWidth="1"/>
    <col min="4088" max="4088" width="4.85546875" style="45" customWidth="1"/>
    <col min="4089" max="4089" width="32.42578125" style="45" customWidth="1"/>
    <col min="4090" max="4090" width="9.85546875" style="45" customWidth="1"/>
    <col min="4091" max="4091" width="10.140625" style="45" customWidth="1"/>
    <col min="4092" max="4092" width="12.28515625" style="45" customWidth="1"/>
    <col min="4093" max="4093" width="15.42578125" style="45" customWidth="1"/>
    <col min="4094" max="4094" width="11.85546875" style="45" customWidth="1"/>
    <col min="4095" max="4095" width="13.28515625" style="45" customWidth="1"/>
    <col min="4096" max="4096" width="15.28515625" style="45" customWidth="1"/>
    <col min="4097" max="4097" width="11.85546875" style="45" customWidth="1"/>
    <col min="4098" max="4098" width="6.140625" style="45" customWidth="1"/>
    <col min="4099" max="4099" width="11.85546875" style="45" customWidth="1"/>
    <col min="4100" max="4100" width="9.42578125" style="45" customWidth="1"/>
    <col min="4101" max="4101" width="14.7109375" style="45" customWidth="1"/>
    <col min="4102" max="4102" width="11.5703125" style="45" customWidth="1"/>
    <col min="4103" max="4103" width="0.42578125" style="45" customWidth="1"/>
    <col min="4104" max="4104" width="10.5703125" style="45" bestFit="1" customWidth="1"/>
    <col min="4105" max="4105" width="12.28515625" style="45" customWidth="1"/>
    <col min="4106" max="4106" width="12.5703125" style="45" customWidth="1"/>
    <col min="4107" max="4107" width="10.5703125" style="45" customWidth="1"/>
    <col min="4108" max="4108" width="10.140625" style="45" customWidth="1"/>
    <col min="4109" max="4109" width="8.42578125" style="45" customWidth="1"/>
    <col min="4110" max="4110" width="18.85546875" style="45" customWidth="1"/>
    <col min="4111" max="4111" width="10.28515625" style="45" customWidth="1"/>
    <col min="4112" max="4112" width="11.42578125" style="45"/>
    <col min="4113" max="4113" width="12.140625" style="45" customWidth="1"/>
    <col min="4114" max="4114" width="10.5703125" style="45" customWidth="1"/>
    <col min="4115" max="4115" width="12.42578125" style="45" customWidth="1"/>
    <col min="4116" max="4116" width="15.140625" style="45" customWidth="1"/>
    <col min="4117" max="4117" width="13.5703125" style="45" customWidth="1"/>
    <col min="4118" max="4118" width="13.140625" style="45" customWidth="1"/>
    <col min="4119" max="4119" width="15.7109375" style="45" customWidth="1"/>
    <col min="4120" max="4120" width="37.5703125" style="45" customWidth="1"/>
    <col min="4121" max="4342" width="11.42578125" style="45"/>
    <col min="4343" max="4343" width="10.5703125" style="45" customWidth="1"/>
    <col min="4344" max="4344" width="4.85546875" style="45" customWidth="1"/>
    <col min="4345" max="4345" width="32.42578125" style="45" customWidth="1"/>
    <col min="4346" max="4346" width="9.85546875" style="45" customWidth="1"/>
    <col min="4347" max="4347" width="10.140625" style="45" customWidth="1"/>
    <col min="4348" max="4348" width="12.28515625" style="45" customWidth="1"/>
    <col min="4349" max="4349" width="15.42578125" style="45" customWidth="1"/>
    <col min="4350" max="4350" width="11.85546875" style="45" customWidth="1"/>
    <col min="4351" max="4351" width="13.28515625" style="45" customWidth="1"/>
    <col min="4352" max="4352" width="15.28515625" style="45" customWidth="1"/>
    <col min="4353" max="4353" width="11.85546875" style="45" customWidth="1"/>
    <col min="4354" max="4354" width="6.140625" style="45" customWidth="1"/>
    <col min="4355" max="4355" width="11.85546875" style="45" customWidth="1"/>
    <col min="4356" max="4356" width="9.42578125" style="45" customWidth="1"/>
    <col min="4357" max="4357" width="14.7109375" style="45" customWidth="1"/>
    <col min="4358" max="4358" width="11.5703125" style="45" customWidth="1"/>
    <col min="4359" max="4359" width="0.42578125" style="45" customWidth="1"/>
    <col min="4360" max="4360" width="10.5703125" style="45" bestFit="1" customWidth="1"/>
    <col min="4361" max="4361" width="12.28515625" style="45" customWidth="1"/>
    <col min="4362" max="4362" width="12.5703125" style="45" customWidth="1"/>
    <col min="4363" max="4363" width="10.5703125" style="45" customWidth="1"/>
    <col min="4364" max="4364" width="10.140625" style="45" customWidth="1"/>
    <col min="4365" max="4365" width="8.42578125" style="45" customWidth="1"/>
    <col min="4366" max="4366" width="18.85546875" style="45" customWidth="1"/>
    <col min="4367" max="4367" width="10.28515625" style="45" customWidth="1"/>
    <col min="4368" max="4368" width="11.42578125" style="45"/>
    <col min="4369" max="4369" width="12.140625" style="45" customWidth="1"/>
    <col min="4370" max="4370" width="10.5703125" style="45" customWidth="1"/>
    <col min="4371" max="4371" width="12.42578125" style="45" customWidth="1"/>
    <col min="4372" max="4372" width="15.140625" style="45" customWidth="1"/>
    <col min="4373" max="4373" width="13.5703125" style="45" customWidth="1"/>
    <col min="4374" max="4374" width="13.140625" style="45" customWidth="1"/>
    <col min="4375" max="4375" width="15.7109375" style="45" customWidth="1"/>
    <col min="4376" max="4376" width="37.5703125" style="45" customWidth="1"/>
    <col min="4377" max="4598" width="11.42578125" style="45"/>
    <col min="4599" max="4599" width="10.5703125" style="45" customWidth="1"/>
    <col min="4600" max="4600" width="4.85546875" style="45" customWidth="1"/>
    <col min="4601" max="4601" width="32.42578125" style="45" customWidth="1"/>
    <col min="4602" max="4602" width="9.85546875" style="45" customWidth="1"/>
    <col min="4603" max="4603" width="10.140625" style="45" customWidth="1"/>
    <col min="4604" max="4604" width="12.28515625" style="45" customWidth="1"/>
    <col min="4605" max="4605" width="15.42578125" style="45" customWidth="1"/>
    <col min="4606" max="4606" width="11.85546875" style="45" customWidth="1"/>
    <col min="4607" max="4607" width="13.28515625" style="45" customWidth="1"/>
    <col min="4608" max="4608" width="15.28515625" style="45" customWidth="1"/>
    <col min="4609" max="4609" width="11.85546875" style="45" customWidth="1"/>
    <col min="4610" max="4610" width="6.140625" style="45" customWidth="1"/>
    <col min="4611" max="4611" width="11.85546875" style="45" customWidth="1"/>
    <col min="4612" max="4612" width="9.42578125" style="45" customWidth="1"/>
    <col min="4613" max="4613" width="14.7109375" style="45" customWidth="1"/>
    <col min="4614" max="4614" width="11.5703125" style="45" customWidth="1"/>
    <col min="4615" max="4615" width="0.42578125" style="45" customWidth="1"/>
    <col min="4616" max="4616" width="10.5703125" style="45" bestFit="1" customWidth="1"/>
    <col min="4617" max="4617" width="12.28515625" style="45" customWidth="1"/>
    <col min="4618" max="4618" width="12.5703125" style="45" customWidth="1"/>
    <col min="4619" max="4619" width="10.5703125" style="45" customWidth="1"/>
    <col min="4620" max="4620" width="10.140625" style="45" customWidth="1"/>
    <col min="4621" max="4621" width="8.42578125" style="45" customWidth="1"/>
    <col min="4622" max="4622" width="18.85546875" style="45" customWidth="1"/>
    <col min="4623" max="4623" width="10.28515625" style="45" customWidth="1"/>
    <col min="4624" max="4624" width="11.42578125" style="45"/>
    <col min="4625" max="4625" width="12.140625" style="45" customWidth="1"/>
    <col min="4626" max="4626" width="10.5703125" style="45" customWidth="1"/>
    <col min="4627" max="4627" width="12.42578125" style="45" customWidth="1"/>
    <col min="4628" max="4628" width="15.140625" style="45" customWidth="1"/>
    <col min="4629" max="4629" width="13.5703125" style="45" customWidth="1"/>
    <col min="4630" max="4630" width="13.140625" style="45" customWidth="1"/>
    <col min="4631" max="4631" width="15.7109375" style="45" customWidth="1"/>
    <col min="4632" max="4632" width="37.5703125" style="45" customWidth="1"/>
    <col min="4633" max="4854" width="11.42578125" style="45"/>
    <col min="4855" max="4855" width="10.5703125" style="45" customWidth="1"/>
    <col min="4856" max="4856" width="4.85546875" style="45" customWidth="1"/>
    <col min="4857" max="4857" width="32.42578125" style="45" customWidth="1"/>
    <col min="4858" max="4858" width="9.85546875" style="45" customWidth="1"/>
    <col min="4859" max="4859" width="10.140625" style="45" customWidth="1"/>
    <col min="4860" max="4860" width="12.28515625" style="45" customWidth="1"/>
    <col min="4861" max="4861" width="15.42578125" style="45" customWidth="1"/>
    <col min="4862" max="4862" width="11.85546875" style="45" customWidth="1"/>
    <col min="4863" max="4863" width="13.28515625" style="45" customWidth="1"/>
    <col min="4864" max="4864" width="15.28515625" style="45" customWidth="1"/>
    <col min="4865" max="4865" width="11.85546875" style="45" customWidth="1"/>
    <col min="4866" max="4866" width="6.140625" style="45" customWidth="1"/>
    <col min="4867" max="4867" width="11.85546875" style="45" customWidth="1"/>
    <col min="4868" max="4868" width="9.42578125" style="45" customWidth="1"/>
    <col min="4869" max="4869" width="14.7109375" style="45" customWidth="1"/>
    <col min="4870" max="4870" width="11.5703125" style="45" customWidth="1"/>
    <col min="4871" max="4871" width="0.42578125" style="45" customWidth="1"/>
    <col min="4872" max="4872" width="10.5703125" style="45" bestFit="1" customWidth="1"/>
    <col min="4873" max="4873" width="12.28515625" style="45" customWidth="1"/>
    <col min="4874" max="4874" width="12.5703125" style="45" customWidth="1"/>
    <col min="4875" max="4875" width="10.5703125" style="45" customWidth="1"/>
    <col min="4876" max="4876" width="10.140625" style="45" customWidth="1"/>
    <col min="4877" max="4877" width="8.42578125" style="45" customWidth="1"/>
    <col min="4878" max="4878" width="18.85546875" style="45" customWidth="1"/>
    <col min="4879" max="4879" width="10.28515625" style="45" customWidth="1"/>
    <col min="4880" max="4880" width="11.42578125" style="45"/>
    <col min="4881" max="4881" width="12.140625" style="45" customWidth="1"/>
    <col min="4882" max="4882" width="10.5703125" style="45" customWidth="1"/>
    <col min="4883" max="4883" width="12.42578125" style="45" customWidth="1"/>
    <col min="4884" max="4884" width="15.140625" style="45" customWidth="1"/>
    <col min="4885" max="4885" width="13.5703125" style="45" customWidth="1"/>
    <col min="4886" max="4886" width="13.140625" style="45" customWidth="1"/>
    <col min="4887" max="4887" width="15.7109375" style="45" customWidth="1"/>
    <col min="4888" max="4888" width="37.5703125" style="45" customWidth="1"/>
    <col min="4889" max="5110" width="11.42578125" style="45"/>
    <col min="5111" max="5111" width="10.5703125" style="45" customWidth="1"/>
    <col min="5112" max="5112" width="4.85546875" style="45" customWidth="1"/>
    <col min="5113" max="5113" width="32.42578125" style="45" customWidth="1"/>
    <col min="5114" max="5114" width="9.85546875" style="45" customWidth="1"/>
    <col min="5115" max="5115" width="10.140625" style="45" customWidth="1"/>
    <col min="5116" max="5116" width="12.28515625" style="45" customWidth="1"/>
    <col min="5117" max="5117" width="15.42578125" style="45" customWidth="1"/>
    <col min="5118" max="5118" width="11.85546875" style="45" customWidth="1"/>
    <col min="5119" max="5119" width="13.28515625" style="45" customWidth="1"/>
    <col min="5120" max="5120" width="15.28515625" style="45" customWidth="1"/>
    <col min="5121" max="5121" width="11.85546875" style="45" customWidth="1"/>
    <col min="5122" max="5122" width="6.140625" style="45" customWidth="1"/>
    <col min="5123" max="5123" width="11.85546875" style="45" customWidth="1"/>
    <col min="5124" max="5124" width="9.42578125" style="45" customWidth="1"/>
    <col min="5125" max="5125" width="14.7109375" style="45" customWidth="1"/>
    <col min="5126" max="5126" width="11.5703125" style="45" customWidth="1"/>
    <col min="5127" max="5127" width="0.42578125" style="45" customWidth="1"/>
    <col min="5128" max="5128" width="10.5703125" style="45" bestFit="1" customWidth="1"/>
    <col min="5129" max="5129" width="12.28515625" style="45" customWidth="1"/>
    <col min="5130" max="5130" width="12.5703125" style="45" customWidth="1"/>
    <col min="5131" max="5131" width="10.5703125" style="45" customWidth="1"/>
    <col min="5132" max="5132" width="10.140625" style="45" customWidth="1"/>
    <col min="5133" max="5133" width="8.42578125" style="45" customWidth="1"/>
    <col min="5134" max="5134" width="18.85546875" style="45" customWidth="1"/>
    <col min="5135" max="5135" width="10.28515625" style="45" customWidth="1"/>
    <col min="5136" max="5136" width="11.42578125" style="45"/>
    <col min="5137" max="5137" width="12.140625" style="45" customWidth="1"/>
    <col min="5138" max="5138" width="10.5703125" style="45" customWidth="1"/>
    <col min="5139" max="5139" width="12.42578125" style="45" customWidth="1"/>
    <col min="5140" max="5140" width="15.140625" style="45" customWidth="1"/>
    <col min="5141" max="5141" width="13.5703125" style="45" customWidth="1"/>
    <col min="5142" max="5142" width="13.140625" style="45" customWidth="1"/>
    <col min="5143" max="5143" width="15.7109375" style="45" customWidth="1"/>
    <col min="5144" max="5144" width="37.5703125" style="45" customWidth="1"/>
    <col min="5145" max="5366" width="11.42578125" style="45"/>
    <col min="5367" max="5367" width="10.5703125" style="45" customWidth="1"/>
    <col min="5368" max="5368" width="4.85546875" style="45" customWidth="1"/>
    <col min="5369" max="5369" width="32.42578125" style="45" customWidth="1"/>
    <col min="5370" max="5370" width="9.85546875" style="45" customWidth="1"/>
    <col min="5371" max="5371" width="10.140625" style="45" customWidth="1"/>
    <col min="5372" max="5372" width="12.28515625" style="45" customWidth="1"/>
    <col min="5373" max="5373" width="15.42578125" style="45" customWidth="1"/>
    <col min="5374" max="5374" width="11.85546875" style="45" customWidth="1"/>
    <col min="5375" max="5375" width="13.28515625" style="45" customWidth="1"/>
    <col min="5376" max="5376" width="15.28515625" style="45" customWidth="1"/>
    <col min="5377" max="5377" width="11.85546875" style="45" customWidth="1"/>
    <col min="5378" max="5378" width="6.140625" style="45" customWidth="1"/>
    <col min="5379" max="5379" width="11.85546875" style="45" customWidth="1"/>
    <col min="5380" max="5380" width="9.42578125" style="45" customWidth="1"/>
    <col min="5381" max="5381" width="14.7109375" style="45" customWidth="1"/>
    <col min="5382" max="5382" width="11.5703125" style="45" customWidth="1"/>
    <col min="5383" max="5383" width="0.42578125" style="45" customWidth="1"/>
    <col min="5384" max="5384" width="10.5703125" style="45" bestFit="1" customWidth="1"/>
    <col min="5385" max="5385" width="12.28515625" style="45" customWidth="1"/>
    <col min="5386" max="5386" width="12.5703125" style="45" customWidth="1"/>
    <col min="5387" max="5387" width="10.5703125" style="45" customWidth="1"/>
    <col min="5388" max="5388" width="10.140625" style="45" customWidth="1"/>
    <col min="5389" max="5389" width="8.42578125" style="45" customWidth="1"/>
    <col min="5390" max="5390" width="18.85546875" style="45" customWidth="1"/>
    <col min="5391" max="5391" width="10.28515625" style="45" customWidth="1"/>
    <col min="5392" max="5392" width="11.42578125" style="45"/>
    <col min="5393" max="5393" width="12.140625" style="45" customWidth="1"/>
    <col min="5394" max="5394" width="10.5703125" style="45" customWidth="1"/>
    <col min="5395" max="5395" width="12.42578125" style="45" customWidth="1"/>
    <col min="5396" max="5396" width="15.140625" style="45" customWidth="1"/>
    <col min="5397" max="5397" width="13.5703125" style="45" customWidth="1"/>
    <col min="5398" max="5398" width="13.140625" style="45" customWidth="1"/>
    <col min="5399" max="5399" width="15.7109375" style="45" customWidth="1"/>
    <col min="5400" max="5400" width="37.5703125" style="45" customWidth="1"/>
    <col min="5401" max="5622" width="11.42578125" style="45"/>
    <col min="5623" max="5623" width="10.5703125" style="45" customWidth="1"/>
    <col min="5624" max="5624" width="4.85546875" style="45" customWidth="1"/>
    <col min="5625" max="5625" width="32.42578125" style="45" customWidth="1"/>
    <col min="5626" max="5626" width="9.85546875" style="45" customWidth="1"/>
    <col min="5627" max="5627" width="10.140625" style="45" customWidth="1"/>
    <col min="5628" max="5628" width="12.28515625" style="45" customWidth="1"/>
    <col min="5629" max="5629" width="15.42578125" style="45" customWidth="1"/>
    <col min="5630" max="5630" width="11.85546875" style="45" customWidth="1"/>
    <col min="5631" max="5631" width="13.28515625" style="45" customWidth="1"/>
    <col min="5632" max="5632" width="15.28515625" style="45" customWidth="1"/>
    <col min="5633" max="5633" width="11.85546875" style="45" customWidth="1"/>
    <col min="5634" max="5634" width="6.140625" style="45" customWidth="1"/>
    <col min="5635" max="5635" width="11.85546875" style="45" customWidth="1"/>
    <col min="5636" max="5636" width="9.42578125" style="45" customWidth="1"/>
    <col min="5637" max="5637" width="14.7109375" style="45" customWidth="1"/>
    <col min="5638" max="5638" width="11.5703125" style="45" customWidth="1"/>
    <col min="5639" max="5639" width="0.42578125" style="45" customWidth="1"/>
    <col min="5640" max="5640" width="10.5703125" style="45" bestFit="1" customWidth="1"/>
    <col min="5641" max="5641" width="12.28515625" style="45" customWidth="1"/>
    <col min="5642" max="5642" width="12.5703125" style="45" customWidth="1"/>
    <col min="5643" max="5643" width="10.5703125" style="45" customWidth="1"/>
    <col min="5644" max="5644" width="10.140625" style="45" customWidth="1"/>
    <col min="5645" max="5645" width="8.42578125" style="45" customWidth="1"/>
    <col min="5646" max="5646" width="18.85546875" style="45" customWidth="1"/>
    <col min="5647" max="5647" width="10.28515625" style="45" customWidth="1"/>
    <col min="5648" max="5648" width="11.42578125" style="45"/>
    <col min="5649" max="5649" width="12.140625" style="45" customWidth="1"/>
    <col min="5650" max="5650" width="10.5703125" style="45" customWidth="1"/>
    <col min="5651" max="5651" width="12.42578125" style="45" customWidth="1"/>
    <col min="5652" max="5652" width="15.140625" style="45" customWidth="1"/>
    <col min="5653" max="5653" width="13.5703125" style="45" customWidth="1"/>
    <col min="5654" max="5654" width="13.140625" style="45" customWidth="1"/>
    <col min="5655" max="5655" width="15.7109375" style="45" customWidth="1"/>
    <col min="5656" max="5656" width="37.5703125" style="45" customWidth="1"/>
    <col min="5657" max="5878" width="11.42578125" style="45"/>
    <col min="5879" max="5879" width="10.5703125" style="45" customWidth="1"/>
    <col min="5880" max="5880" width="4.85546875" style="45" customWidth="1"/>
    <col min="5881" max="5881" width="32.42578125" style="45" customWidth="1"/>
    <col min="5882" max="5882" width="9.85546875" style="45" customWidth="1"/>
    <col min="5883" max="5883" width="10.140625" style="45" customWidth="1"/>
    <col min="5884" max="5884" width="12.28515625" style="45" customWidth="1"/>
    <col min="5885" max="5885" width="15.42578125" style="45" customWidth="1"/>
    <col min="5886" max="5886" width="11.85546875" style="45" customWidth="1"/>
    <col min="5887" max="5887" width="13.28515625" style="45" customWidth="1"/>
    <col min="5888" max="5888" width="15.28515625" style="45" customWidth="1"/>
    <col min="5889" max="5889" width="11.85546875" style="45" customWidth="1"/>
    <col min="5890" max="5890" width="6.140625" style="45" customWidth="1"/>
    <col min="5891" max="5891" width="11.85546875" style="45" customWidth="1"/>
    <col min="5892" max="5892" width="9.42578125" style="45" customWidth="1"/>
    <col min="5893" max="5893" width="14.7109375" style="45" customWidth="1"/>
    <col min="5894" max="5894" width="11.5703125" style="45" customWidth="1"/>
    <col min="5895" max="5895" width="0.42578125" style="45" customWidth="1"/>
    <col min="5896" max="5896" width="10.5703125" style="45" bestFit="1" customWidth="1"/>
    <col min="5897" max="5897" width="12.28515625" style="45" customWidth="1"/>
    <col min="5898" max="5898" width="12.5703125" style="45" customWidth="1"/>
    <col min="5899" max="5899" width="10.5703125" style="45" customWidth="1"/>
    <col min="5900" max="5900" width="10.140625" style="45" customWidth="1"/>
    <col min="5901" max="5901" width="8.42578125" style="45" customWidth="1"/>
    <col min="5902" max="5902" width="18.85546875" style="45" customWidth="1"/>
    <col min="5903" max="5903" width="10.28515625" style="45" customWidth="1"/>
    <col min="5904" max="5904" width="11.42578125" style="45"/>
    <col min="5905" max="5905" width="12.140625" style="45" customWidth="1"/>
    <col min="5906" max="5906" width="10.5703125" style="45" customWidth="1"/>
    <col min="5907" max="5907" width="12.42578125" style="45" customWidth="1"/>
    <col min="5908" max="5908" width="15.140625" style="45" customWidth="1"/>
    <col min="5909" max="5909" width="13.5703125" style="45" customWidth="1"/>
    <col min="5910" max="5910" width="13.140625" style="45" customWidth="1"/>
    <col min="5911" max="5911" width="15.7109375" style="45" customWidth="1"/>
    <col min="5912" max="5912" width="37.5703125" style="45" customWidth="1"/>
    <col min="5913" max="6134" width="11.42578125" style="45"/>
    <col min="6135" max="6135" width="10.5703125" style="45" customWidth="1"/>
    <col min="6136" max="6136" width="4.85546875" style="45" customWidth="1"/>
    <col min="6137" max="6137" width="32.42578125" style="45" customWidth="1"/>
    <col min="6138" max="6138" width="9.85546875" style="45" customWidth="1"/>
    <col min="6139" max="6139" width="10.140625" style="45" customWidth="1"/>
    <col min="6140" max="6140" width="12.28515625" style="45" customWidth="1"/>
    <col min="6141" max="6141" width="15.42578125" style="45" customWidth="1"/>
    <col min="6142" max="6142" width="11.85546875" style="45" customWidth="1"/>
    <col min="6143" max="6143" width="13.28515625" style="45" customWidth="1"/>
    <col min="6144" max="6144" width="15.28515625" style="45" customWidth="1"/>
    <col min="6145" max="6145" width="11.85546875" style="45" customWidth="1"/>
    <col min="6146" max="6146" width="6.140625" style="45" customWidth="1"/>
    <col min="6147" max="6147" width="11.85546875" style="45" customWidth="1"/>
    <col min="6148" max="6148" width="9.42578125" style="45" customWidth="1"/>
    <col min="6149" max="6149" width="14.7109375" style="45" customWidth="1"/>
    <col min="6150" max="6150" width="11.5703125" style="45" customWidth="1"/>
    <col min="6151" max="6151" width="0.42578125" style="45" customWidth="1"/>
    <col min="6152" max="6152" width="10.5703125" style="45" bestFit="1" customWidth="1"/>
    <col min="6153" max="6153" width="12.28515625" style="45" customWidth="1"/>
    <col min="6154" max="6154" width="12.5703125" style="45" customWidth="1"/>
    <col min="6155" max="6155" width="10.5703125" style="45" customWidth="1"/>
    <col min="6156" max="6156" width="10.140625" style="45" customWidth="1"/>
    <col min="6157" max="6157" width="8.42578125" style="45" customWidth="1"/>
    <col min="6158" max="6158" width="18.85546875" style="45" customWidth="1"/>
    <col min="6159" max="6159" width="10.28515625" style="45" customWidth="1"/>
    <col min="6160" max="6160" width="11.42578125" style="45"/>
    <col min="6161" max="6161" width="12.140625" style="45" customWidth="1"/>
    <col min="6162" max="6162" width="10.5703125" style="45" customWidth="1"/>
    <col min="6163" max="6163" width="12.42578125" style="45" customWidth="1"/>
    <col min="6164" max="6164" width="15.140625" style="45" customWidth="1"/>
    <col min="6165" max="6165" width="13.5703125" style="45" customWidth="1"/>
    <col min="6166" max="6166" width="13.140625" style="45" customWidth="1"/>
    <col min="6167" max="6167" width="15.7109375" style="45" customWidth="1"/>
    <col min="6168" max="6168" width="37.5703125" style="45" customWidth="1"/>
    <col min="6169" max="6390" width="11.42578125" style="45"/>
    <col min="6391" max="6391" width="10.5703125" style="45" customWidth="1"/>
    <col min="6392" max="6392" width="4.85546875" style="45" customWidth="1"/>
    <col min="6393" max="6393" width="32.42578125" style="45" customWidth="1"/>
    <col min="6394" max="6394" width="9.85546875" style="45" customWidth="1"/>
    <col min="6395" max="6395" width="10.140625" style="45" customWidth="1"/>
    <col min="6396" max="6396" width="12.28515625" style="45" customWidth="1"/>
    <col min="6397" max="6397" width="15.42578125" style="45" customWidth="1"/>
    <col min="6398" max="6398" width="11.85546875" style="45" customWidth="1"/>
    <col min="6399" max="6399" width="13.28515625" style="45" customWidth="1"/>
    <col min="6400" max="6400" width="15.28515625" style="45" customWidth="1"/>
    <col min="6401" max="6401" width="11.85546875" style="45" customWidth="1"/>
    <col min="6402" max="6402" width="6.140625" style="45" customWidth="1"/>
    <col min="6403" max="6403" width="11.85546875" style="45" customWidth="1"/>
    <col min="6404" max="6404" width="9.42578125" style="45" customWidth="1"/>
    <col min="6405" max="6405" width="14.7109375" style="45" customWidth="1"/>
    <col min="6406" max="6406" width="11.5703125" style="45" customWidth="1"/>
    <col min="6407" max="6407" width="0.42578125" style="45" customWidth="1"/>
    <col min="6408" max="6408" width="10.5703125" style="45" bestFit="1" customWidth="1"/>
    <col min="6409" max="6409" width="12.28515625" style="45" customWidth="1"/>
    <col min="6410" max="6410" width="12.5703125" style="45" customWidth="1"/>
    <col min="6411" max="6411" width="10.5703125" style="45" customWidth="1"/>
    <col min="6412" max="6412" width="10.140625" style="45" customWidth="1"/>
    <col min="6413" max="6413" width="8.42578125" style="45" customWidth="1"/>
    <col min="6414" max="6414" width="18.85546875" style="45" customWidth="1"/>
    <col min="6415" max="6415" width="10.28515625" style="45" customWidth="1"/>
    <col min="6416" max="6416" width="11.42578125" style="45"/>
    <col min="6417" max="6417" width="12.140625" style="45" customWidth="1"/>
    <col min="6418" max="6418" width="10.5703125" style="45" customWidth="1"/>
    <col min="6419" max="6419" width="12.42578125" style="45" customWidth="1"/>
    <col min="6420" max="6420" width="15.140625" style="45" customWidth="1"/>
    <col min="6421" max="6421" width="13.5703125" style="45" customWidth="1"/>
    <col min="6422" max="6422" width="13.140625" style="45" customWidth="1"/>
    <col min="6423" max="6423" width="15.7109375" style="45" customWidth="1"/>
    <col min="6424" max="6424" width="37.5703125" style="45" customWidth="1"/>
    <col min="6425" max="6646" width="11.42578125" style="45"/>
    <col min="6647" max="6647" width="10.5703125" style="45" customWidth="1"/>
    <col min="6648" max="6648" width="4.85546875" style="45" customWidth="1"/>
    <col min="6649" max="6649" width="32.42578125" style="45" customWidth="1"/>
    <col min="6650" max="6650" width="9.85546875" style="45" customWidth="1"/>
    <col min="6651" max="6651" width="10.140625" style="45" customWidth="1"/>
    <col min="6652" max="6652" width="12.28515625" style="45" customWidth="1"/>
    <col min="6653" max="6653" width="15.42578125" style="45" customWidth="1"/>
    <col min="6654" max="6654" width="11.85546875" style="45" customWidth="1"/>
    <col min="6655" max="6655" width="13.28515625" style="45" customWidth="1"/>
    <col min="6656" max="6656" width="15.28515625" style="45" customWidth="1"/>
    <col min="6657" max="6657" width="11.85546875" style="45" customWidth="1"/>
    <col min="6658" max="6658" width="6.140625" style="45" customWidth="1"/>
    <col min="6659" max="6659" width="11.85546875" style="45" customWidth="1"/>
    <col min="6660" max="6660" width="9.42578125" style="45" customWidth="1"/>
    <col min="6661" max="6661" width="14.7109375" style="45" customWidth="1"/>
    <col min="6662" max="6662" width="11.5703125" style="45" customWidth="1"/>
    <col min="6663" max="6663" width="0.42578125" style="45" customWidth="1"/>
    <col min="6664" max="6664" width="10.5703125" style="45" bestFit="1" customWidth="1"/>
    <col min="6665" max="6665" width="12.28515625" style="45" customWidth="1"/>
    <col min="6666" max="6666" width="12.5703125" style="45" customWidth="1"/>
    <col min="6667" max="6667" width="10.5703125" style="45" customWidth="1"/>
    <col min="6668" max="6668" width="10.140625" style="45" customWidth="1"/>
    <col min="6669" max="6669" width="8.42578125" style="45" customWidth="1"/>
    <col min="6670" max="6670" width="18.85546875" style="45" customWidth="1"/>
    <col min="6671" max="6671" width="10.28515625" style="45" customWidth="1"/>
    <col min="6672" max="6672" width="11.42578125" style="45"/>
    <col min="6673" max="6673" width="12.140625" style="45" customWidth="1"/>
    <col min="6674" max="6674" width="10.5703125" style="45" customWidth="1"/>
    <col min="6675" max="6675" width="12.42578125" style="45" customWidth="1"/>
    <col min="6676" max="6676" width="15.140625" style="45" customWidth="1"/>
    <col min="6677" max="6677" width="13.5703125" style="45" customWidth="1"/>
    <col min="6678" max="6678" width="13.140625" style="45" customWidth="1"/>
    <col min="6679" max="6679" width="15.7109375" style="45" customWidth="1"/>
    <col min="6680" max="6680" width="37.5703125" style="45" customWidth="1"/>
    <col min="6681" max="6902" width="11.42578125" style="45"/>
    <col min="6903" max="6903" width="10.5703125" style="45" customWidth="1"/>
    <col min="6904" max="6904" width="4.85546875" style="45" customWidth="1"/>
    <col min="6905" max="6905" width="32.42578125" style="45" customWidth="1"/>
    <col min="6906" max="6906" width="9.85546875" style="45" customWidth="1"/>
    <col min="6907" max="6907" width="10.140625" style="45" customWidth="1"/>
    <col min="6908" max="6908" width="12.28515625" style="45" customWidth="1"/>
    <col min="6909" max="6909" width="15.42578125" style="45" customWidth="1"/>
    <col min="6910" max="6910" width="11.85546875" style="45" customWidth="1"/>
    <col min="6911" max="6911" width="13.28515625" style="45" customWidth="1"/>
    <col min="6912" max="6912" width="15.28515625" style="45" customWidth="1"/>
    <col min="6913" max="6913" width="11.85546875" style="45" customWidth="1"/>
    <col min="6914" max="6914" width="6.140625" style="45" customWidth="1"/>
    <col min="6915" max="6915" width="11.85546875" style="45" customWidth="1"/>
    <col min="6916" max="6916" width="9.42578125" style="45" customWidth="1"/>
    <col min="6917" max="6917" width="14.7109375" style="45" customWidth="1"/>
    <col min="6918" max="6918" width="11.5703125" style="45" customWidth="1"/>
    <col min="6919" max="6919" width="0.42578125" style="45" customWidth="1"/>
    <col min="6920" max="6920" width="10.5703125" style="45" bestFit="1" customWidth="1"/>
    <col min="6921" max="6921" width="12.28515625" style="45" customWidth="1"/>
    <col min="6922" max="6922" width="12.5703125" style="45" customWidth="1"/>
    <col min="6923" max="6923" width="10.5703125" style="45" customWidth="1"/>
    <col min="6924" max="6924" width="10.140625" style="45" customWidth="1"/>
    <col min="6925" max="6925" width="8.42578125" style="45" customWidth="1"/>
    <col min="6926" max="6926" width="18.85546875" style="45" customWidth="1"/>
    <col min="6927" max="6927" width="10.28515625" style="45" customWidth="1"/>
    <col min="6928" max="6928" width="11.42578125" style="45"/>
    <col min="6929" max="6929" width="12.140625" style="45" customWidth="1"/>
    <col min="6930" max="6930" width="10.5703125" style="45" customWidth="1"/>
    <col min="6931" max="6931" width="12.42578125" style="45" customWidth="1"/>
    <col min="6932" max="6932" width="15.140625" style="45" customWidth="1"/>
    <col min="6933" max="6933" width="13.5703125" style="45" customWidth="1"/>
    <col min="6934" max="6934" width="13.140625" style="45" customWidth="1"/>
    <col min="6935" max="6935" width="15.7109375" style="45" customWidth="1"/>
    <col min="6936" max="6936" width="37.5703125" style="45" customWidth="1"/>
    <col min="6937" max="7158" width="11.42578125" style="45"/>
    <col min="7159" max="7159" width="10.5703125" style="45" customWidth="1"/>
    <col min="7160" max="7160" width="4.85546875" style="45" customWidth="1"/>
    <col min="7161" max="7161" width="32.42578125" style="45" customWidth="1"/>
    <col min="7162" max="7162" width="9.85546875" style="45" customWidth="1"/>
    <col min="7163" max="7163" width="10.140625" style="45" customWidth="1"/>
    <col min="7164" max="7164" width="12.28515625" style="45" customWidth="1"/>
    <col min="7165" max="7165" width="15.42578125" style="45" customWidth="1"/>
    <col min="7166" max="7166" width="11.85546875" style="45" customWidth="1"/>
    <col min="7167" max="7167" width="13.28515625" style="45" customWidth="1"/>
    <col min="7168" max="7168" width="15.28515625" style="45" customWidth="1"/>
    <col min="7169" max="7169" width="11.85546875" style="45" customWidth="1"/>
    <col min="7170" max="7170" width="6.140625" style="45" customWidth="1"/>
    <col min="7171" max="7171" width="11.85546875" style="45" customWidth="1"/>
    <col min="7172" max="7172" width="9.42578125" style="45" customWidth="1"/>
    <col min="7173" max="7173" width="14.7109375" style="45" customWidth="1"/>
    <col min="7174" max="7174" width="11.5703125" style="45" customWidth="1"/>
    <col min="7175" max="7175" width="0.42578125" style="45" customWidth="1"/>
    <col min="7176" max="7176" width="10.5703125" style="45" bestFit="1" customWidth="1"/>
    <col min="7177" max="7177" width="12.28515625" style="45" customWidth="1"/>
    <col min="7178" max="7178" width="12.5703125" style="45" customWidth="1"/>
    <col min="7179" max="7179" width="10.5703125" style="45" customWidth="1"/>
    <col min="7180" max="7180" width="10.140625" style="45" customWidth="1"/>
    <col min="7181" max="7181" width="8.42578125" style="45" customWidth="1"/>
    <col min="7182" max="7182" width="18.85546875" style="45" customWidth="1"/>
    <col min="7183" max="7183" width="10.28515625" style="45" customWidth="1"/>
    <col min="7184" max="7184" width="11.42578125" style="45"/>
    <col min="7185" max="7185" width="12.140625" style="45" customWidth="1"/>
    <col min="7186" max="7186" width="10.5703125" style="45" customWidth="1"/>
    <col min="7187" max="7187" width="12.42578125" style="45" customWidth="1"/>
    <col min="7188" max="7188" width="15.140625" style="45" customWidth="1"/>
    <col min="7189" max="7189" width="13.5703125" style="45" customWidth="1"/>
    <col min="7190" max="7190" width="13.140625" style="45" customWidth="1"/>
    <col min="7191" max="7191" width="15.7109375" style="45" customWidth="1"/>
    <col min="7192" max="7192" width="37.5703125" style="45" customWidth="1"/>
    <col min="7193" max="7414" width="11.42578125" style="45"/>
    <col min="7415" max="7415" width="10.5703125" style="45" customWidth="1"/>
    <col min="7416" max="7416" width="4.85546875" style="45" customWidth="1"/>
    <col min="7417" max="7417" width="32.42578125" style="45" customWidth="1"/>
    <col min="7418" max="7418" width="9.85546875" style="45" customWidth="1"/>
    <col min="7419" max="7419" width="10.140625" style="45" customWidth="1"/>
    <col min="7420" max="7420" width="12.28515625" style="45" customWidth="1"/>
    <col min="7421" max="7421" width="15.42578125" style="45" customWidth="1"/>
    <col min="7422" max="7422" width="11.85546875" style="45" customWidth="1"/>
    <col min="7423" max="7423" width="13.28515625" style="45" customWidth="1"/>
    <col min="7424" max="7424" width="15.28515625" style="45" customWidth="1"/>
    <col min="7425" max="7425" width="11.85546875" style="45" customWidth="1"/>
    <col min="7426" max="7426" width="6.140625" style="45" customWidth="1"/>
    <col min="7427" max="7427" width="11.85546875" style="45" customWidth="1"/>
    <col min="7428" max="7428" width="9.42578125" style="45" customWidth="1"/>
    <col min="7429" max="7429" width="14.7109375" style="45" customWidth="1"/>
    <col min="7430" max="7430" width="11.5703125" style="45" customWidth="1"/>
    <col min="7431" max="7431" width="0.42578125" style="45" customWidth="1"/>
    <col min="7432" max="7432" width="10.5703125" style="45" bestFit="1" customWidth="1"/>
    <col min="7433" max="7433" width="12.28515625" style="45" customWidth="1"/>
    <col min="7434" max="7434" width="12.5703125" style="45" customWidth="1"/>
    <col min="7435" max="7435" width="10.5703125" style="45" customWidth="1"/>
    <col min="7436" max="7436" width="10.140625" style="45" customWidth="1"/>
    <col min="7437" max="7437" width="8.42578125" style="45" customWidth="1"/>
    <col min="7438" max="7438" width="18.85546875" style="45" customWidth="1"/>
    <col min="7439" max="7439" width="10.28515625" style="45" customWidth="1"/>
    <col min="7440" max="7440" width="11.42578125" style="45"/>
    <col min="7441" max="7441" width="12.140625" style="45" customWidth="1"/>
    <col min="7442" max="7442" width="10.5703125" style="45" customWidth="1"/>
    <col min="7443" max="7443" width="12.42578125" style="45" customWidth="1"/>
    <col min="7444" max="7444" width="15.140625" style="45" customWidth="1"/>
    <col min="7445" max="7445" width="13.5703125" style="45" customWidth="1"/>
    <col min="7446" max="7446" width="13.140625" style="45" customWidth="1"/>
    <col min="7447" max="7447" width="15.7109375" style="45" customWidth="1"/>
    <col min="7448" max="7448" width="37.5703125" style="45" customWidth="1"/>
    <col min="7449" max="7670" width="11.42578125" style="45"/>
    <col min="7671" max="7671" width="10.5703125" style="45" customWidth="1"/>
    <col min="7672" max="7672" width="4.85546875" style="45" customWidth="1"/>
    <col min="7673" max="7673" width="32.42578125" style="45" customWidth="1"/>
    <col min="7674" max="7674" width="9.85546875" style="45" customWidth="1"/>
    <col min="7675" max="7675" width="10.140625" style="45" customWidth="1"/>
    <col min="7676" max="7676" width="12.28515625" style="45" customWidth="1"/>
    <col min="7677" max="7677" width="15.42578125" style="45" customWidth="1"/>
    <col min="7678" max="7678" width="11.85546875" style="45" customWidth="1"/>
    <col min="7679" max="7679" width="13.28515625" style="45" customWidth="1"/>
    <col min="7680" max="7680" width="15.28515625" style="45" customWidth="1"/>
    <col min="7681" max="7681" width="11.85546875" style="45" customWidth="1"/>
    <col min="7682" max="7682" width="6.140625" style="45" customWidth="1"/>
    <col min="7683" max="7683" width="11.85546875" style="45" customWidth="1"/>
    <col min="7684" max="7684" width="9.42578125" style="45" customWidth="1"/>
    <col min="7685" max="7685" width="14.7109375" style="45" customWidth="1"/>
    <col min="7686" max="7686" width="11.5703125" style="45" customWidth="1"/>
    <col min="7687" max="7687" width="0.42578125" style="45" customWidth="1"/>
    <col min="7688" max="7688" width="10.5703125" style="45" bestFit="1" customWidth="1"/>
    <col min="7689" max="7689" width="12.28515625" style="45" customWidth="1"/>
    <col min="7690" max="7690" width="12.5703125" style="45" customWidth="1"/>
    <col min="7691" max="7691" width="10.5703125" style="45" customWidth="1"/>
    <col min="7692" max="7692" width="10.140625" style="45" customWidth="1"/>
    <col min="7693" max="7693" width="8.42578125" style="45" customWidth="1"/>
    <col min="7694" max="7694" width="18.85546875" style="45" customWidth="1"/>
    <col min="7695" max="7695" width="10.28515625" style="45" customWidth="1"/>
    <col min="7696" max="7696" width="11.42578125" style="45"/>
    <col min="7697" max="7697" width="12.140625" style="45" customWidth="1"/>
    <col min="7698" max="7698" width="10.5703125" style="45" customWidth="1"/>
    <col min="7699" max="7699" width="12.42578125" style="45" customWidth="1"/>
    <col min="7700" max="7700" width="15.140625" style="45" customWidth="1"/>
    <col min="7701" max="7701" width="13.5703125" style="45" customWidth="1"/>
    <col min="7702" max="7702" width="13.140625" style="45" customWidth="1"/>
    <col min="7703" max="7703" width="15.7109375" style="45" customWidth="1"/>
    <col min="7704" max="7704" width="37.5703125" style="45" customWidth="1"/>
    <col min="7705" max="7926" width="11.42578125" style="45"/>
    <col min="7927" max="7927" width="10.5703125" style="45" customWidth="1"/>
    <col min="7928" max="7928" width="4.85546875" style="45" customWidth="1"/>
    <col min="7929" max="7929" width="32.42578125" style="45" customWidth="1"/>
    <col min="7930" max="7930" width="9.85546875" style="45" customWidth="1"/>
    <col min="7931" max="7931" width="10.140625" style="45" customWidth="1"/>
    <col min="7932" max="7932" width="12.28515625" style="45" customWidth="1"/>
    <col min="7933" max="7933" width="15.42578125" style="45" customWidth="1"/>
    <col min="7934" max="7934" width="11.85546875" style="45" customWidth="1"/>
    <col min="7935" max="7935" width="13.28515625" style="45" customWidth="1"/>
    <col min="7936" max="7936" width="15.28515625" style="45" customWidth="1"/>
    <col min="7937" max="7937" width="11.85546875" style="45" customWidth="1"/>
    <col min="7938" max="7938" width="6.140625" style="45" customWidth="1"/>
    <col min="7939" max="7939" width="11.85546875" style="45" customWidth="1"/>
    <col min="7940" max="7940" width="9.42578125" style="45" customWidth="1"/>
    <col min="7941" max="7941" width="14.7109375" style="45" customWidth="1"/>
    <col min="7942" max="7942" width="11.5703125" style="45" customWidth="1"/>
    <col min="7943" max="7943" width="0.42578125" style="45" customWidth="1"/>
    <col min="7944" max="7944" width="10.5703125" style="45" bestFit="1" customWidth="1"/>
    <col min="7945" max="7945" width="12.28515625" style="45" customWidth="1"/>
    <col min="7946" max="7946" width="12.5703125" style="45" customWidth="1"/>
    <col min="7947" max="7947" width="10.5703125" style="45" customWidth="1"/>
    <col min="7948" max="7948" width="10.140625" style="45" customWidth="1"/>
    <col min="7949" max="7949" width="8.42578125" style="45" customWidth="1"/>
    <col min="7950" max="7950" width="18.85546875" style="45" customWidth="1"/>
    <col min="7951" max="7951" width="10.28515625" style="45" customWidth="1"/>
    <col min="7952" max="7952" width="11.42578125" style="45"/>
    <col min="7953" max="7953" width="12.140625" style="45" customWidth="1"/>
    <col min="7954" max="7954" width="10.5703125" style="45" customWidth="1"/>
    <col min="7955" max="7955" width="12.42578125" style="45" customWidth="1"/>
    <col min="7956" max="7956" width="15.140625" style="45" customWidth="1"/>
    <col min="7957" max="7957" width="13.5703125" style="45" customWidth="1"/>
    <col min="7958" max="7958" width="13.140625" style="45" customWidth="1"/>
    <col min="7959" max="7959" width="15.7109375" style="45" customWidth="1"/>
    <col min="7960" max="7960" width="37.5703125" style="45" customWidth="1"/>
    <col min="7961" max="8182" width="11.42578125" style="45"/>
    <col min="8183" max="8183" width="10.5703125" style="45" customWidth="1"/>
    <col min="8184" max="8184" width="4.85546875" style="45" customWidth="1"/>
    <col min="8185" max="8185" width="32.42578125" style="45" customWidth="1"/>
    <col min="8186" max="8186" width="9.85546875" style="45" customWidth="1"/>
    <col min="8187" max="8187" width="10.140625" style="45" customWidth="1"/>
    <col min="8188" max="8188" width="12.28515625" style="45" customWidth="1"/>
    <col min="8189" max="8189" width="15.42578125" style="45" customWidth="1"/>
    <col min="8190" max="8190" width="11.85546875" style="45" customWidth="1"/>
    <col min="8191" max="8191" width="13.28515625" style="45" customWidth="1"/>
    <col min="8192" max="8192" width="15.28515625" style="45" customWidth="1"/>
    <col min="8193" max="8193" width="11.85546875" style="45" customWidth="1"/>
    <col min="8194" max="8194" width="6.140625" style="45" customWidth="1"/>
    <col min="8195" max="8195" width="11.85546875" style="45" customWidth="1"/>
    <col min="8196" max="8196" width="9.42578125" style="45" customWidth="1"/>
    <col min="8197" max="8197" width="14.7109375" style="45" customWidth="1"/>
    <col min="8198" max="8198" width="11.5703125" style="45" customWidth="1"/>
    <col min="8199" max="8199" width="0.42578125" style="45" customWidth="1"/>
    <col min="8200" max="8200" width="10.5703125" style="45" bestFit="1" customWidth="1"/>
    <col min="8201" max="8201" width="12.28515625" style="45" customWidth="1"/>
    <col min="8202" max="8202" width="12.5703125" style="45" customWidth="1"/>
    <col min="8203" max="8203" width="10.5703125" style="45" customWidth="1"/>
    <col min="8204" max="8204" width="10.140625" style="45" customWidth="1"/>
    <col min="8205" max="8205" width="8.42578125" style="45" customWidth="1"/>
    <col min="8206" max="8206" width="18.85546875" style="45" customWidth="1"/>
    <col min="8207" max="8207" width="10.28515625" style="45" customWidth="1"/>
    <col min="8208" max="8208" width="11.42578125" style="45"/>
    <col min="8209" max="8209" width="12.140625" style="45" customWidth="1"/>
    <col min="8210" max="8210" width="10.5703125" style="45" customWidth="1"/>
    <col min="8211" max="8211" width="12.42578125" style="45" customWidth="1"/>
    <col min="8212" max="8212" width="15.140625" style="45" customWidth="1"/>
    <col min="8213" max="8213" width="13.5703125" style="45" customWidth="1"/>
    <col min="8214" max="8214" width="13.140625" style="45" customWidth="1"/>
    <col min="8215" max="8215" width="15.7109375" style="45" customWidth="1"/>
    <col min="8216" max="8216" width="37.5703125" style="45" customWidth="1"/>
    <col min="8217" max="8438" width="11.42578125" style="45"/>
    <col min="8439" max="8439" width="10.5703125" style="45" customWidth="1"/>
    <col min="8440" max="8440" width="4.85546875" style="45" customWidth="1"/>
    <col min="8441" max="8441" width="32.42578125" style="45" customWidth="1"/>
    <col min="8442" max="8442" width="9.85546875" style="45" customWidth="1"/>
    <col min="8443" max="8443" width="10.140625" style="45" customWidth="1"/>
    <col min="8444" max="8444" width="12.28515625" style="45" customWidth="1"/>
    <col min="8445" max="8445" width="15.42578125" style="45" customWidth="1"/>
    <col min="8446" max="8446" width="11.85546875" style="45" customWidth="1"/>
    <col min="8447" max="8447" width="13.28515625" style="45" customWidth="1"/>
    <col min="8448" max="8448" width="15.28515625" style="45" customWidth="1"/>
    <col min="8449" max="8449" width="11.85546875" style="45" customWidth="1"/>
    <col min="8450" max="8450" width="6.140625" style="45" customWidth="1"/>
    <col min="8451" max="8451" width="11.85546875" style="45" customWidth="1"/>
    <col min="8452" max="8452" width="9.42578125" style="45" customWidth="1"/>
    <col min="8453" max="8453" width="14.7109375" style="45" customWidth="1"/>
    <col min="8454" max="8454" width="11.5703125" style="45" customWidth="1"/>
    <col min="8455" max="8455" width="0.42578125" style="45" customWidth="1"/>
    <col min="8456" max="8456" width="10.5703125" style="45" bestFit="1" customWidth="1"/>
    <col min="8457" max="8457" width="12.28515625" style="45" customWidth="1"/>
    <col min="8458" max="8458" width="12.5703125" style="45" customWidth="1"/>
    <col min="8459" max="8459" width="10.5703125" style="45" customWidth="1"/>
    <col min="8460" max="8460" width="10.140625" style="45" customWidth="1"/>
    <col min="8461" max="8461" width="8.42578125" style="45" customWidth="1"/>
    <col min="8462" max="8462" width="18.85546875" style="45" customWidth="1"/>
    <col min="8463" max="8463" width="10.28515625" style="45" customWidth="1"/>
    <col min="8464" max="8464" width="11.42578125" style="45"/>
    <col min="8465" max="8465" width="12.140625" style="45" customWidth="1"/>
    <col min="8466" max="8466" width="10.5703125" style="45" customWidth="1"/>
    <col min="8467" max="8467" width="12.42578125" style="45" customWidth="1"/>
    <col min="8468" max="8468" width="15.140625" style="45" customWidth="1"/>
    <col min="8469" max="8469" width="13.5703125" style="45" customWidth="1"/>
    <col min="8470" max="8470" width="13.140625" style="45" customWidth="1"/>
    <col min="8471" max="8471" width="15.7109375" style="45" customWidth="1"/>
    <col min="8472" max="8472" width="37.5703125" style="45" customWidth="1"/>
    <col min="8473" max="8694" width="11.42578125" style="45"/>
    <col min="8695" max="8695" width="10.5703125" style="45" customWidth="1"/>
    <col min="8696" max="8696" width="4.85546875" style="45" customWidth="1"/>
    <col min="8697" max="8697" width="32.42578125" style="45" customWidth="1"/>
    <col min="8698" max="8698" width="9.85546875" style="45" customWidth="1"/>
    <col min="8699" max="8699" width="10.140625" style="45" customWidth="1"/>
    <col min="8700" max="8700" width="12.28515625" style="45" customWidth="1"/>
    <col min="8701" max="8701" width="15.42578125" style="45" customWidth="1"/>
    <col min="8702" max="8702" width="11.85546875" style="45" customWidth="1"/>
    <col min="8703" max="8703" width="13.28515625" style="45" customWidth="1"/>
    <col min="8704" max="8704" width="15.28515625" style="45" customWidth="1"/>
    <col min="8705" max="8705" width="11.85546875" style="45" customWidth="1"/>
    <col min="8706" max="8706" width="6.140625" style="45" customWidth="1"/>
    <col min="8707" max="8707" width="11.85546875" style="45" customWidth="1"/>
    <col min="8708" max="8708" width="9.42578125" style="45" customWidth="1"/>
    <col min="8709" max="8709" width="14.7109375" style="45" customWidth="1"/>
    <col min="8710" max="8710" width="11.5703125" style="45" customWidth="1"/>
    <col min="8711" max="8711" width="0.42578125" style="45" customWidth="1"/>
    <col min="8712" max="8712" width="10.5703125" style="45" bestFit="1" customWidth="1"/>
    <col min="8713" max="8713" width="12.28515625" style="45" customWidth="1"/>
    <col min="8714" max="8714" width="12.5703125" style="45" customWidth="1"/>
    <col min="8715" max="8715" width="10.5703125" style="45" customWidth="1"/>
    <col min="8716" max="8716" width="10.140625" style="45" customWidth="1"/>
    <col min="8717" max="8717" width="8.42578125" style="45" customWidth="1"/>
    <col min="8718" max="8718" width="18.85546875" style="45" customWidth="1"/>
    <col min="8719" max="8719" width="10.28515625" style="45" customWidth="1"/>
    <col min="8720" max="8720" width="11.42578125" style="45"/>
    <col min="8721" max="8721" width="12.140625" style="45" customWidth="1"/>
    <col min="8722" max="8722" width="10.5703125" style="45" customWidth="1"/>
    <col min="8723" max="8723" width="12.42578125" style="45" customWidth="1"/>
    <col min="8724" max="8724" width="15.140625" style="45" customWidth="1"/>
    <col min="8725" max="8725" width="13.5703125" style="45" customWidth="1"/>
    <col min="8726" max="8726" width="13.140625" style="45" customWidth="1"/>
    <col min="8727" max="8727" width="15.7109375" style="45" customWidth="1"/>
    <col min="8728" max="8728" width="37.5703125" style="45" customWidth="1"/>
    <col min="8729" max="8950" width="11.42578125" style="45"/>
    <col min="8951" max="8951" width="10.5703125" style="45" customWidth="1"/>
    <col min="8952" max="8952" width="4.85546875" style="45" customWidth="1"/>
    <col min="8953" max="8953" width="32.42578125" style="45" customWidth="1"/>
    <col min="8954" max="8954" width="9.85546875" style="45" customWidth="1"/>
    <col min="8955" max="8955" width="10.140625" style="45" customWidth="1"/>
    <col min="8956" max="8956" width="12.28515625" style="45" customWidth="1"/>
    <col min="8957" max="8957" width="15.42578125" style="45" customWidth="1"/>
    <col min="8958" max="8958" width="11.85546875" style="45" customWidth="1"/>
    <col min="8959" max="8959" width="13.28515625" style="45" customWidth="1"/>
    <col min="8960" max="8960" width="15.28515625" style="45" customWidth="1"/>
    <col min="8961" max="8961" width="11.85546875" style="45" customWidth="1"/>
    <col min="8962" max="8962" width="6.140625" style="45" customWidth="1"/>
    <col min="8963" max="8963" width="11.85546875" style="45" customWidth="1"/>
    <col min="8964" max="8964" width="9.42578125" style="45" customWidth="1"/>
    <col min="8965" max="8965" width="14.7109375" style="45" customWidth="1"/>
    <col min="8966" max="8966" width="11.5703125" style="45" customWidth="1"/>
    <col min="8967" max="8967" width="0.42578125" style="45" customWidth="1"/>
    <col min="8968" max="8968" width="10.5703125" style="45" bestFit="1" customWidth="1"/>
    <col min="8969" max="8969" width="12.28515625" style="45" customWidth="1"/>
    <col min="8970" max="8970" width="12.5703125" style="45" customWidth="1"/>
    <col min="8971" max="8971" width="10.5703125" style="45" customWidth="1"/>
    <col min="8972" max="8972" width="10.140625" style="45" customWidth="1"/>
    <col min="8973" max="8973" width="8.42578125" style="45" customWidth="1"/>
    <col min="8974" max="8974" width="18.85546875" style="45" customWidth="1"/>
    <col min="8975" max="8975" width="10.28515625" style="45" customWidth="1"/>
    <col min="8976" max="8976" width="11.42578125" style="45"/>
    <col min="8977" max="8977" width="12.140625" style="45" customWidth="1"/>
    <col min="8978" max="8978" width="10.5703125" style="45" customWidth="1"/>
    <col min="8979" max="8979" width="12.42578125" style="45" customWidth="1"/>
    <col min="8980" max="8980" width="15.140625" style="45" customWidth="1"/>
    <col min="8981" max="8981" width="13.5703125" style="45" customWidth="1"/>
    <col min="8982" max="8982" width="13.140625" style="45" customWidth="1"/>
    <col min="8983" max="8983" width="15.7109375" style="45" customWidth="1"/>
    <col min="8984" max="8984" width="37.5703125" style="45" customWidth="1"/>
    <col min="8985" max="9206" width="11.42578125" style="45"/>
    <col min="9207" max="9207" width="10.5703125" style="45" customWidth="1"/>
    <col min="9208" max="9208" width="4.85546875" style="45" customWidth="1"/>
    <col min="9209" max="9209" width="32.42578125" style="45" customWidth="1"/>
    <col min="9210" max="9210" width="9.85546875" style="45" customWidth="1"/>
    <col min="9211" max="9211" width="10.140625" style="45" customWidth="1"/>
    <col min="9212" max="9212" width="12.28515625" style="45" customWidth="1"/>
    <col min="9213" max="9213" width="15.42578125" style="45" customWidth="1"/>
    <col min="9214" max="9214" width="11.85546875" style="45" customWidth="1"/>
    <col min="9215" max="9215" width="13.28515625" style="45" customWidth="1"/>
    <col min="9216" max="9216" width="15.28515625" style="45" customWidth="1"/>
    <col min="9217" max="9217" width="11.85546875" style="45" customWidth="1"/>
    <col min="9218" max="9218" width="6.140625" style="45" customWidth="1"/>
    <col min="9219" max="9219" width="11.85546875" style="45" customWidth="1"/>
    <col min="9220" max="9220" width="9.42578125" style="45" customWidth="1"/>
    <col min="9221" max="9221" width="14.7109375" style="45" customWidth="1"/>
    <col min="9222" max="9222" width="11.5703125" style="45" customWidth="1"/>
    <col min="9223" max="9223" width="0.42578125" style="45" customWidth="1"/>
    <col min="9224" max="9224" width="10.5703125" style="45" bestFit="1" customWidth="1"/>
    <col min="9225" max="9225" width="12.28515625" style="45" customWidth="1"/>
    <col min="9226" max="9226" width="12.5703125" style="45" customWidth="1"/>
    <col min="9227" max="9227" width="10.5703125" style="45" customWidth="1"/>
    <col min="9228" max="9228" width="10.140625" style="45" customWidth="1"/>
    <col min="9229" max="9229" width="8.42578125" style="45" customWidth="1"/>
    <col min="9230" max="9230" width="18.85546875" style="45" customWidth="1"/>
    <col min="9231" max="9231" width="10.28515625" style="45" customWidth="1"/>
    <col min="9232" max="9232" width="11.42578125" style="45"/>
    <col min="9233" max="9233" width="12.140625" style="45" customWidth="1"/>
    <col min="9234" max="9234" width="10.5703125" style="45" customWidth="1"/>
    <col min="9235" max="9235" width="12.42578125" style="45" customWidth="1"/>
    <col min="9236" max="9236" width="15.140625" style="45" customWidth="1"/>
    <col min="9237" max="9237" width="13.5703125" style="45" customWidth="1"/>
    <col min="9238" max="9238" width="13.140625" style="45" customWidth="1"/>
    <col min="9239" max="9239" width="15.7109375" style="45" customWidth="1"/>
    <col min="9240" max="9240" width="37.5703125" style="45" customWidth="1"/>
    <col min="9241" max="9462" width="11.42578125" style="45"/>
    <col min="9463" max="9463" width="10.5703125" style="45" customWidth="1"/>
    <col min="9464" max="9464" width="4.85546875" style="45" customWidth="1"/>
    <col min="9465" max="9465" width="32.42578125" style="45" customWidth="1"/>
    <col min="9466" max="9466" width="9.85546875" style="45" customWidth="1"/>
    <col min="9467" max="9467" width="10.140625" style="45" customWidth="1"/>
    <col min="9468" max="9468" width="12.28515625" style="45" customWidth="1"/>
    <col min="9469" max="9469" width="15.42578125" style="45" customWidth="1"/>
    <col min="9470" max="9470" width="11.85546875" style="45" customWidth="1"/>
    <col min="9471" max="9471" width="13.28515625" style="45" customWidth="1"/>
    <col min="9472" max="9472" width="15.28515625" style="45" customWidth="1"/>
    <col min="9473" max="9473" width="11.85546875" style="45" customWidth="1"/>
    <col min="9474" max="9474" width="6.140625" style="45" customWidth="1"/>
    <col min="9475" max="9475" width="11.85546875" style="45" customWidth="1"/>
    <col min="9476" max="9476" width="9.42578125" style="45" customWidth="1"/>
    <col min="9477" max="9477" width="14.7109375" style="45" customWidth="1"/>
    <col min="9478" max="9478" width="11.5703125" style="45" customWidth="1"/>
    <col min="9479" max="9479" width="0.42578125" style="45" customWidth="1"/>
    <col min="9480" max="9480" width="10.5703125" style="45" bestFit="1" customWidth="1"/>
    <col min="9481" max="9481" width="12.28515625" style="45" customWidth="1"/>
    <col min="9482" max="9482" width="12.5703125" style="45" customWidth="1"/>
    <col min="9483" max="9483" width="10.5703125" style="45" customWidth="1"/>
    <col min="9484" max="9484" width="10.140625" style="45" customWidth="1"/>
    <col min="9485" max="9485" width="8.42578125" style="45" customWidth="1"/>
    <col min="9486" max="9486" width="18.85546875" style="45" customWidth="1"/>
    <col min="9487" max="9487" width="10.28515625" style="45" customWidth="1"/>
    <col min="9488" max="9488" width="11.42578125" style="45"/>
    <col min="9489" max="9489" width="12.140625" style="45" customWidth="1"/>
    <col min="9490" max="9490" width="10.5703125" style="45" customWidth="1"/>
    <col min="9491" max="9491" width="12.42578125" style="45" customWidth="1"/>
    <col min="9492" max="9492" width="15.140625" style="45" customWidth="1"/>
    <col min="9493" max="9493" width="13.5703125" style="45" customWidth="1"/>
    <col min="9494" max="9494" width="13.140625" style="45" customWidth="1"/>
    <col min="9495" max="9495" width="15.7109375" style="45" customWidth="1"/>
    <col min="9496" max="9496" width="37.5703125" style="45" customWidth="1"/>
    <col min="9497" max="9718" width="11.42578125" style="45"/>
    <col min="9719" max="9719" width="10.5703125" style="45" customWidth="1"/>
    <col min="9720" max="9720" width="4.85546875" style="45" customWidth="1"/>
    <col min="9721" max="9721" width="32.42578125" style="45" customWidth="1"/>
    <col min="9722" max="9722" width="9.85546875" style="45" customWidth="1"/>
    <col min="9723" max="9723" width="10.140625" style="45" customWidth="1"/>
    <col min="9724" max="9724" width="12.28515625" style="45" customWidth="1"/>
    <col min="9725" max="9725" width="15.42578125" style="45" customWidth="1"/>
    <col min="9726" max="9726" width="11.85546875" style="45" customWidth="1"/>
    <col min="9727" max="9727" width="13.28515625" style="45" customWidth="1"/>
    <col min="9728" max="9728" width="15.28515625" style="45" customWidth="1"/>
    <col min="9729" max="9729" width="11.85546875" style="45" customWidth="1"/>
    <col min="9730" max="9730" width="6.140625" style="45" customWidth="1"/>
    <col min="9731" max="9731" width="11.85546875" style="45" customWidth="1"/>
    <col min="9732" max="9732" width="9.42578125" style="45" customWidth="1"/>
    <col min="9733" max="9733" width="14.7109375" style="45" customWidth="1"/>
    <col min="9734" max="9734" width="11.5703125" style="45" customWidth="1"/>
    <col min="9735" max="9735" width="0.42578125" style="45" customWidth="1"/>
    <col min="9736" max="9736" width="10.5703125" style="45" bestFit="1" customWidth="1"/>
    <col min="9737" max="9737" width="12.28515625" style="45" customWidth="1"/>
    <col min="9738" max="9738" width="12.5703125" style="45" customWidth="1"/>
    <col min="9739" max="9739" width="10.5703125" style="45" customWidth="1"/>
    <col min="9740" max="9740" width="10.140625" style="45" customWidth="1"/>
    <col min="9741" max="9741" width="8.42578125" style="45" customWidth="1"/>
    <col min="9742" max="9742" width="18.85546875" style="45" customWidth="1"/>
    <col min="9743" max="9743" width="10.28515625" style="45" customWidth="1"/>
    <col min="9744" max="9744" width="11.42578125" style="45"/>
    <col min="9745" max="9745" width="12.140625" style="45" customWidth="1"/>
    <col min="9746" max="9746" width="10.5703125" style="45" customWidth="1"/>
    <col min="9747" max="9747" width="12.42578125" style="45" customWidth="1"/>
    <col min="9748" max="9748" width="15.140625" style="45" customWidth="1"/>
    <col min="9749" max="9749" width="13.5703125" style="45" customWidth="1"/>
    <col min="9750" max="9750" width="13.140625" style="45" customWidth="1"/>
    <col min="9751" max="9751" width="15.7109375" style="45" customWidth="1"/>
    <col min="9752" max="9752" width="37.5703125" style="45" customWidth="1"/>
    <col min="9753" max="9974" width="11.42578125" style="45"/>
    <col min="9975" max="9975" width="10.5703125" style="45" customWidth="1"/>
    <col min="9976" max="9976" width="4.85546875" style="45" customWidth="1"/>
    <col min="9977" max="9977" width="32.42578125" style="45" customWidth="1"/>
    <col min="9978" max="9978" width="9.85546875" style="45" customWidth="1"/>
    <col min="9979" max="9979" width="10.140625" style="45" customWidth="1"/>
    <col min="9980" max="9980" width="12.28515625" style="45" customWidth="1"/>
    <col min="9981" max="9981" width="15.42578125" style="45" customWidth="1"/>
    <col min="9982" max="9982" width="11.85546875" style="45" customWidth="1"/>
    <col min="9983" max="9983" width="13.28515625" style="45" customWidth="1"/>
    <col min="9984" max="9984" width="15.28515625" style="45" customWidth="1"/>
    <col min="9985" max="9985" width="11.85546875" style="45" customWidth="1"/>
    <col min="9986" max="9986" width="6.140625" style="45" customWidth="1"/>
    <col min="9987" max="9987" width="11.85546875" style="45" customWidth="1"/>
    <col min="9988" max="9988" width="9.42578125" style="45" customWidth="1"/>
    <col min="9989" max="9989" width="14.7109375" style="45" customWidth="1"/>
    <col min="9990" max="9990" width="11.5703125" style="45" customWidth="1"/>
    <col min="9991" max="9991" width="0.42578125" style="45" customWidth="1"/>
    <col min="9992" max="9992" width="10.5703125" style="45" bestFit="1" customWidth="1"/>
    <col min="9993" max="9993" width="12.28515625" style="45" customWidth="1"/>
    <col min="9994" max="9994" width="12.5703125" style="45" customWidth="1"/>
    <col min="9995" max="9995" width="10.5703125" style="45" customWidth="1"/>
    <col min="9996" max="9996" width="10.140625" style="45" customWidth="1"/>
    <col min="9997" max="9997" width="8.42578125" style="45" customWidth="1"/>
    <col min="9998" max="9998" width="18.85546875" style="45" customWidth="1"/>
    <col min="9999" max="9999" width="10.28515625" style="45" customWidth="1"/>
    <col min="10000" max="10000" width="11.42578125" style="45"/>
    <col min="10001" max="10001" width="12.140625" style="45" customWidth="1"/>
    <col min="10002" max="10002" width="10.5703125" style="45" customWidth="1"/>
    <col min="10003" max="10003" width="12.42578125" style="45" customWidth="1"/>
    <col min="10004" max="10004" width="15.140625" style="45" customWidth="1"/>
    <col min="10005" max="10005" width="13.5703125" style="45" customWidth="1"/>
    <col min="10006" max="10006" width="13.140625" style="45" customWidth="1"/>
    <col min="10007" max="10007" width="15.7109375" style="45" customWidth="1"/>
    <col min="10008" max="10008" width="37.5703125" style="45" customWidth="1"/>
    <col min="10009" max="10230" width="11.42578125" style="45"/>
    <col min="10231" max="10231" width="10.5703125" style="45" customWidth="1"/>
    <col min="10232" max="10232" width="4.85546875" style="45" customWidth="1"/>
    <col min="10233" max="10233" width="32.42578125" style="45" customWidth="1"/>
    <col min="10234" max="10234" width="9.85546875" style="45" customWidth="1"/>
    <col min="10235" max="10235" width="10.140625" style="45" customWidth="1"/>
    <col min="10236" max="10236" width="12.28515625" style="45" customWidth="1"/>
    <col min="10237" max="10237" width="15.42578125" style="45" customWidth="1"/>
    <col min="10238" max="10238" width="11.85546875" style="45" customWidth="1"/>
    <col min="10239" max="10239" width="13.28515625" style="45" customWidth="1"/>
    <col min="10240" max="10240" width="15.28515625" style="45" customWidth="1"/>
    <col min="10241" max="10241" width="11.85546875" style="45" customWidth="1"/>
    <col min="10242" max="10242" width="6.140625" style="45" customWidth="1"/>
    <col min="10243" max="10243" width="11.85546875" style="45" customWidth="1"/>
    <col min="10244" max="10244" width="9.42578125" style="45" customWidth="1"/>
    <col min="10245" max="10245" width="14.7109375" style="45" customWidth="1"/>
    <col min="10246" max="10246" width="11.5703125" style="45" customWidth="1"/>
    <col min="10247" max="10247" width="0.42578125" style="45" customWidth="1"/>
    <col min="10248" max="10248" width="10.5703125" style="45" bestFit="1" customWidth="1"/>
    <col min="10249" max="10249" width="12.28515625" style="45" customWidth="1"/>
    <col min="10250" max="10250" width="12.5703125" style="45" customWidth="1"/>
    <col min="10251" max="10251" width="10.5703125" style="45" customWidth="1"/>
    <col min="10252" max="10252" width="10.140625" style="45" customWidth="1"/>
    <col min="10253" max="10253" width="8.42578125" style="45" customWidth="1"/>
    <col min="10254" max="10254" width="18.85546875" style="45" customWidth="1"/>
    <col min="10255" max="10255" width="10.28515625" style="45" customWidth="1"/>
    <col min="10256" max="10256" width="11.42578125" style="45"/>
    <col min="10257" max="10257" width="12.140625" style="45" customWidth="1"/>
    <col min="10258" max="10258" width="10.5703125" style="45" customWidth="1"/>
    <col min="10259" max="10259" width="12.42578125" style="45" customWidth="1"/>
    <col min="10260" max="10260" width="15.140625" style="45" customWidth="1"/>
    <col min="10261" max="10261" width="13.5703125" style="45" customWidth="1"/>
    <col min="10262" max="10262" width="13.140625" style="45" customWidth="1"/>
    <col min="10263" max="10263" width="15.7109375" style="45" customWidth="1"/>
    <col min="10264" max="10264" width="37.5703125" style="45" customWidth="1"/>
    <col min="10265" max="10486" width="11.42578125" style="45"/>
    <col min="10487" max="10487" width="10.5703125" style="45" customWidth="1"/>
    <col min="10488" max="10488" width="4.85546875" style="45" customWidth="1"/>
    <col min="10489" max="10489" width="32.42578125" style="45" customWidth="1"/>
    <col min="10490" max="10490" width="9.85546875" style="45" customWidth="1"/>
    <col min="10491" max="10491" width="10.140625" style="45" customWidth="1"/>
    <col min="10492" max="10492" width="12.28515625" style="45" customWidth="1"/>
    <col min="10493" max="10493" width="15.42578125" style="45" customWidth="1"/>
    <col min="10494" max="10494" width="11.85546875" style="45" customWidth="1"/>
    <col min="10495" max="10495" width="13.28515625" style="45" customWidth="1"/>
    <col min="10496" max="10496" width="15.28515625" style="45" customWidth="1"/>
    <col min="10497" max="10497" width="11.85546875" style="45" customWidth="1"/>
    <col min="10498" max="10498" width="6.140625" style="45" customWidth="1"/>
    <col min="10499" max="10499" width="11.85546875" style="45" customWidth="1"/>
    <col min="10500" max="10500" width="9.42578125" style="45" customWidth="1"/>
    <col min="10501" max="10501" width="14.7109375" style="45" customWidth="1"/>
    <col min="10502" max="10502" width="11.5703125" style="45" customWidth="1"/>
    <col min="10503" max="10503" width="0.42578125" style="45" customWidth="1"/>
    <col min="10504" max="10504" width="10.5703125" style="45" bestFit="1" customWidth="1"/>
    <col min="10505" max="10505" width="12.28515625" style="45" customWidth="1"/>
    <col min="10506" max="10506" width="12.5703125" style="45" customWidth="1"/>
    <col min="10507" max="10507" width="10.5703125" style="45" customWidth="1"/>
    <col min="10508" max="10508" width="10.140625" style="45" customWidth="1"/>
    <col min="10509" max="10509" width="8.42578125" style="45" customWidth="1"/>
    <col min="10510" max="10510" width="18.85546875" style="45" customWidth="1"/>
    <col min="10511" max="10511" width="10.28515625" style="45" customWidth="1"/>
    <col min="10512" max="10512" width="11.42578125" style="45"/>
    <col min="10513" max="10513" width="12.140625" style="45" customWidth="1"/>
    <col min="10514" max="10514" width="10.5703125" style="45" customWidth="1"/>
    <col min="10515" max="10515" width="12.42578125" style="45" customWidth="1"/>
    <col min="10516" max="10516" width="15.140625" style="45" customWidth="1"/>
    <col min="10517" max="10517" width="13.5703125" style="45" customWidth="1"/>
    <col min="10518" max="10518" width="13.140625" style="45" customWidth="1"/>
    <col min="10519" max="10519" width="15.7109375" style="45" customWidth="1"/>
    <col min="10520" max="10520" width="37.5703125" style="45" customWidth="1"/>
    <col min="10521" max="10742" width="11.42578125" style="45"/>
    <col min="10743" max="10743" width="10.5703125" style="45" customWidth="1"/>
    <col min="10744" max="10744" width="4.85546875" style="45" customWidth="1"/>
    <col min="10745" max="10745" width="32.42578125" style="45" customWidth="1"/>
    <col min="10746" max="10746" width="9.85546875" style="45" customWidth="1"/>
    <col min="10747" max="10747" width="10.140625" style="45" customWidth="1"/>
    <col min="10748" max="10748" width="12.28515625" style="45" customWidth="1"/>
    <col min="10749" max="10749" width="15.42578125" style="45" customWidth="1"/>
    <col min="10750" max="10750" width="11.85546875" style="45" customWidth="1"/>
    <col min="10751" max="10751" width="13.28515625" style="45" customWidth="1"/>
    <col min="10752" max="10752" width="15.28515625" style="45" customWidth="1"/>
    <col min="10753" max="10753" width="11.85546875" style="45" customWidth="1"/>
    <col min="10754" max="10754" width="6.140625" style="45" customWidth="1"/>
    <col min="10755" max="10755" width="11.85546875" style="45" customWidth="1"/>
    <col min="10756" max="10756" width="9.42578125" style="45" customWidth="1"/>
    <col min="10757" max="10757" width="14.7109375" style="45" customWidth="1"/>
    <col min="10758" max="10758" width="11.5703125" style="45" customWidth="1"/>
    <col min="10759" max="10759" width="0.42578125" style="45" customWidth="1"/>
    <col min="10760" max="10760" width="10.5703125" style="45" bestFit="1" customWidth="1"/>
    <col min="10761" max="10761" width="12.28515625" style="45" customWidth="1"/>
    <col min="10762" max="10762" width="12.5703125" style="45" customWidth="1"/>
    <col min="10763" max="10763" width="10.5703125" style="45" customWidth="1"/>
    <col min="10764" max="10764" width="10.140625" style="45" customWidth="1"/>
    <col min="10765" max="10765" width="8.42578125" style="45" customWidth="1"/>
    <col min="10766" max="10766" width="18.85546875" style="45" customWidth="1"/>
    <col min="10767" max="10767" width="10.28515625" style="45" customWidth="1"/>
    <col min="10768" max="10768" width="11.42578125" style="45"/>
    <col min="10769" max="10769" width="12.140625" style="45" customWidth="1"/>
    <col min="10770" max="10770" width="10.5703125" style="45" customWidth="1"/>
    <col min="10771" max="10771" width="12.42578125" style="45" customWidth="1"/>
    <col min="10772" max="10772" width="15.140625" style="45" customWidth="1"/>
    <col min="10773" max="10773" width="13.5703125" style="45" customWidth="1"/>
    <col min="10774" max="10774" width="13.140625" style="45" customWidth="1"/>
    <col min="10775" max="10775" width="15.7109375" style="45" customWidth="1"/>
    <col min="10776" max="10776" width="37.5703125" style="45" customWidth="1"/>
    <col min="10777" max="10998" width="11.42578125" style="45"/>
    <col min="10999" max="10999" width="10.5703125" style="45" customWidth="1"/>
    <col min="11000" max="11000" width="4.85546875" style="45" customWidth="1"/>
    <col min="11001" max="11001" width="32.42578125" style="45" customWidth="1"/>
    <col min="11002" max="11002" width="9.85546875" style="45" customWidth="1"/>
    <col min="11003" max="11003" width="10.140625" style="45" customWidth="1"/>
    <col min="11004" max="11004" width="12.28515625" style="45" customWidth="1"/>
    <col min="11005" max="11005" width="15.42578125" style="45" customWidth="1"/>
    <col min="11006" max="11006" width="11.85546875" style="45" customWidth="1"/>
    <col min="11007" max="11007" width="13.28515625" style="45" customWidth="1"/>
    <col min="11008" max="11008" width="15.28515625" style="45" customWidth="1"/>
    <col min="11009" max="11009" width="11.85546875" style="45" customWidth="1"/>
    <col min="11010" max="11010" width="6.140625" style="45" customWidth="1"/>
    <col min="11011" max="11011" width="11.85546875" style="45" customWidth="1"/>
    <col min="11012" max="11012" width="9.42578125" style="45" customWidth="1"/>
    <col min="11013" max="11013" width="14.7109375" style="45" customWidth="1"/>
    <col min="11014" max="11014" width="11.5703125" style="45" customWidth="1"/>
    <col min="11015" max="11015" width="0.42578125" style="45" customWidth="1"/>
    <col min="11016" max="11016" width="10.5703125" style="45" bestFit="1" customWidth="1"/>
    <col min="11017" max="11017" width="12.28515625" style="45" customWidth="1"/>
    <col min="11018" max="11018" width="12.5703125" style="45" customWidth="1"/>
    <col min="11019" max="11019" width="10.5703125" style="45" customWidth="1"/>
    <col min="11020" max="11020" width="10.140625" style="45" customWidth="1"/>
    <col min="11021" max="11021" width="8.42578125" style="45" customWidth="1"/>
    <col min="11022" max="11022" width="18.85546875" style="45" customWidth="1"/>
    <col min="11023" max="11023" width="10.28515625" style="45" customWidth="1"/>
    <col min="11024" max="11024" width="11.42578125" style="45"/>
    <col min="11025" max="11025" width="12.140625" style="45" customWidth="1"/>
    <col min="11026" max="11026" width="10.5703125" style="45" customWidth="1"/>
    <col min="11027" max="11027" width="12.42578125" style="45" customWidth="1"/>
    <col min="11028" max="11028" width="15.140625" style="45" customWidth="1"/>
    <col min="11029" max="11029" width="13.5703125" style="45" customWidth="1"/>
    <col min="11030" max="11030" width="13.140625" style="45" customWidth="1"/>
    <col min="11031" max="11031" width="15.7109375" style="45" customWidth="1"/>
    <col min="11032" max="11032" width="37.5703125" style="45" customWidth="1"/>
    <col min="11033" max="11254" width="11.42578125" style="45"/>
    <col min="11255" max="11255" width="10.5703125" style="45" customWidth="1"/>
    <col min="11256" max="11256" width="4.85546875" style="45" customWidth="1"/>
    <col min="11257" max="11257" width="32.42578125" style="45" customWidth="1"/>
    <col min="11258" max="11258" width="9.85546875" style="45" customWidth="1"/>
    <col min="11259" max="11259" width="10.140625" style="45" customWidth="1"/>
    <col min="11260" max="11260" width="12.28515625" style="45" customWidth="1"/>
    <col min="11261" max="11261" width="15.42578125" style="45" customWidth="1"/>
    <col min="11262" max="11262" width="11.85546875" style="45" customWidth="1"/>
    <col min="11263" max="11263" width="13.28515625" style="45" customWidth="1"/>
    <col min="11264" max="11264" width="15.28515625" style="45" customWidth="1"/>
    <col min="11265" max="11265" width="11.85546875" style="45" customWidth="1"/>
    <col min="11266" max="11266" width="6.140625" style="45" customWidth="1"/>
    <col min="11267" max="11267" width="11.85546875" style="45" customWidth="1"/>
    <col min="11268" max="11268" width="9.42578125" style="45" customWidth="1"/>
    <col min="11269" max="11269" width="14.7109375" style="45" customWidth="1"/>
    <col min="11270" max="11270" width="11.5703125" style="45" customWidth="1"/>
    <col min="11271" max="11271" width="0.42578125" style="45" customWidth="1"/>
    <col min="11272" max="11272" width="10.5703125" style="45" bestFit="1" customWidth="1"/>
    <col min="11273" max="11273" width="12.28515625" style="45" customWidth="1"/>
    <col min="11274" max="11274" width="12.5703125" style="45" customWidth="1"/>
    <col min="11275" max="11275" width="10.5703125" style="45" customWidth="1"/>
    <col min="11276" max="11276" width="10.140625" style="45" customWidth="1"/>
    <col min="11277" max="11277" width="8.42578125" style="45" customWidth="1"/>
    <col min="11278" max="11278" width="18.85546875" style="45" customWidth="1"/>
    <col min="11279" max="11279" width="10.28515625" style="45" customWidth="1"/>
    <col min="11280" max="11280" width="11.42578125" style="45"/>
    <col min="11281" max="11281" width="12.140625" style="45" customWidth="1"/>
    <col min="11282" max="11282" width="10.5703125" style="45" customWidth="1"/>
    <col min="11283" max="11283" width="12.42578125" style="45" customWidth="1"/>
    <col min="11284" max="11284" width="15.140625" style="45" customWidth="1"/>
    <col min="11285" max="11285" width="13.5703125" style="45" customWidth="1"/>
    <col min="11286" max="11286" width="13.140625" style="45" customWidth="1"/>
    <col min="11287" max="11287" width="15.7109375" style="45" customWidth="1"/>
    <col min="11288" max="11288" width="37.5703125" style="45" customWidth="1"/>
    <col min="11289" max="11510" width="11.42578125" style="45"/>
    <col min="11511" max="11511" width="10.5703125" style="45" customWidth="1"/>
    <col min="11512" max="11512" width="4.85546875" style="45" customWidth="1"/>
    <col min="11513" max="11513" width="32.42578125" style="45" customWidth="1"/>
    <col min="11514" max="11514" width="9.85546875" style="45" customWidth="1"/>
    <col min="11515" max="11515" width="10.140625" style="45" customWidth="1"/>
    <col min="11516" max="11516" width="12.28515625" style="45" customWidth="1"/>
    <col min="11517" max="11517" width="15.42578125" style="45" customWidth="1"/>
    <col min="11518" max="11518" width="11.85546875" style="45" customWidth="1"/>
    <col min="11519" max="11519" width="13.28515625" style="45" customWidth="1"/>
    <col min="11520" max="11520" width="15.28515625" style="45" customWidth="1"/>
    <col min="11521" max="11521" width="11.85546875" style="45" customWidth="1"/>
    <col min="11522" max="11522" width="6.140625" style="45" customWidth="1"/>
    <col min="11523" max="11523" width="11.85546875" style="45" customWidth="1"/>
    <col min="11524" max="11524" width="9.42578125" style="45" customWidth="1"/>
    <col min="11525" max="11525" width="14.7109375" style="45" customWidth="1"/>
    <col min="11526" max="11526" width="11.5703125" style="45" customWidth="1"/>
    <col min="11527" max="11527" width="0.42578125" style="45" customWidth="1"/>
    <col min="11528" max="11528" width="10.5703125" style="45" bestFit="1" customWidth="1"/>
    <col min="11529" max="11529" width="12.28515625" style="45" customWidth="1"/>
    <col min="11530" max="11530" width="12.5703125" style="45" customWidth="1"/>
    <col min="11531" max="11531" width="10.5703125" style="45" customWidth="1"/>
    <col min="11532" max="11532" width="10.140625" style="45" customWidth="1"/>
    <col min="11533" max="11533" width="8.42578125" style="45" customWidth="1"/>
    <col min="11534" max="11534" width="18.85546875" style="45" customWidth="1"/>
    <col min="11535" max="11535" width="10.28515625" style="45" customWidth="1"/>
    <col min="11536" max="11536" width="11.42578125" style="45"/>
    <col min="11537" max="11537" width="12.140625" style="45" customWidth="1"/>
    <col min="11538" max="11538" width="10.5703125" style="45" customWidth="1"/>
    <col min="11539" max="11539" width="12.42578125" style="45" customWidth="1"/>
    <col min="11540" max="11540" width="15.140625" style="45" customWidth="1"/>
    <col min="11541" max="11541" width="13.5703125" style="45" customWidth="1"/>
    <col min="11542" max="11542" width="13.140625" style="45" customWidth="1"/>
    <col min="11543" max="11543" width="15.7109375" style="45" customWidth="1"/>
    <col min="11544" max="11544" width="37.5703125" style="45" customWidth="1"/>
    <col min="11545" max="11766" width="11.42578125" style="45"/>
    <col min="11767" max="11767" width="10.5703125" style="45" customWidth="1"/>
    <col min="11768" max="11768" width="4.85546875" style="45" customWidth="1"/>
    <col min="11769" max="11769" width="32.42578125" style="45" customWidth="1"/>
    <col min="11770" max="11770" width="9.85546875" style="45" customWidth="1"/>
    <col min="11771" max="11771" width="10.140625" style="45" customWidth="1"/>
    <col min="11772" max="11772" width="12.28515625" style="45" customWidth="1"/>
    <col min="11773" max="11773" width="15.42578125" style="45" customWidth="1"/>
    <col min="11774" max="11774" width="11.85546875" style="45" customWidth="1"/>
    <col min="11775" max="11775" width="13.28515625" style="45" customWidth="1"/>
    <col min="11776" max="11776" width="15.28515625" style="45" customWidth="1"/>
    <col min="11777" max="11777" width="11.85546875" style="45" customWidth="1"/>
    <col min="11778" max="11778" width="6.140625" style="45" customWidth="1"/>
    <col min="11779" max="11779" width="11.85546875" style="45" customWidth="1"/>
    <col min="11780" max="11780" width="9.42578125" style="45" customWidth="1"/>
    <col min="11781" max="11781" width="14.7109375" style="45" customWidth="1"/>
    <col min="11782" max="11782" width="11.5703125" style="45" customWidth="1"/>
    <col min="11783" max="11783" width="0.42578125" style="45" customWidth="1"/>
    <col min="11784" max="11784" width="10.5703125" style="45" bestFit="1" customWidth="1"/>
    <col min="11785" max="11785" width="12.28515625" style="45" customWidth="1"/>
    <col min="11786" max="11786" width="12.5703125" style="45" customWidth="1"/>
    <col min="11787" max="11787" width="10.5703125" style="45" customWidth="1"/>
    <col min="11788" max="11788" width="10.140625" style="45" customWidth="1"/>
    <col min="11789" max="11789" width="8.42578125" style="45" customWidth="1"/>
    <col min="11790" max="11790" width="18.85546875" style="45" customWidth="1"/>
    <col min="11791" max="11791" width="10.28515625" style="45" customWidth="1"/>
    <col min="11792" max="11792" width="11.42578125" style="45"/>
    <col min="11793" max="11793" width="12.140625" style="45" customWidth="1"/>
    <col min="11794" max="11794" width="10.5703125" style="45" customWidth="1"/>
    <col min="11795" max="11795" width="12.42578125" style="45" customWidth="1"/>
    <col min="11796" max="11796" width="15.140625" style="45" customWidth="1"/>
    <col min="11797" max="11797" width="13.5703125" style="45" customWidth="1"/>
    <col min="11798" max="11798" width="13.140625" style="45" customWidth="1"/>
    <col min="11799" max="11799" width="15.7109375" style="45" customWidth="1"/>
    <col min="11800" max="11800" width="37.5703125" style="45" customWidth="1"/>
    <col min="11801" max="12022" width="11.42578125" style="45"/>
    <col min="12023" max="12023" width="10.5703125" style="45" customWidth="1"/>
    <col min="12024" max="12024" width="4.85546875" style="45" customWidth="1"/>
    <col min="12025" max="12025" width="32.42578125" style="45" customWidth="1"/>
    <col min="12026" max="12026" width="9.85546875" style="45" customWidth="1"/>
    <col min="12027" max="12027" width="10.140625" style="45" customWidth="1"/>
    <col min="12028" max="12028" width="12.28515625" style="45" customWidth="1"/>
    <col min="12029" max="12029" width="15.42578125" style="45" customWidth="1"/>
    <col min="12030" max="12030" width="11.85546875" style="45" customWidth="1"/>
    <col min="12031" max="12031" width="13.28515625" style="45" customWidth="1"/>
    <col min="12032" max="12032" width="15.28515625" style="45" customWidth="1"/>
    <col min="12033" max="12033" width="11.85546875" style="45" customWidth="1"/>
    <col min="12034" max="12034" width="6.140625" style="45" customWidth="1"/>
    <col min="12035" max="12035" width="11.85546875" style="45" customWidth="1"/>
    <col min="12036" max="12036" width="9.42578125" style="45" customWidth="1"/>
    <col min="12037" max="12037" width="14.7109375" style="45" customWidth="1"/>
    <col min="12038" max="12038" width="11.5703125" style="45" customWidth="1"/>
    <col min="12039" max="12039" width="0.42578125" style="45" customWidth="1"/>
    <col min="12040" max="12040" width="10.5703125" style="45" bestFit="1" customWidth="1"/>
    <col min="12041" max="12041" width="12.28515625" style="45" customWidth="1"/>
    <col min="12042" max="12042" width="12.5703125" style="45" customWidth="1"/>
    <col min="12043" max="12043" width="10.5703125" style="45" customWidth="1"/>
    <col min="12044" max="12044" width="10.140625" style="45" customWidth="1"/>
    <col min="12045" max="12045" width="8.42578125" style="45" customWidth="1"/>
    <col min="12046" max="12046" width="18.85546875" style="45" customWidth="1"/>
    <col min="12047" max="12047" width="10.28515625" style="45" customWidth="1"/>
    <col min="12048" max="12048" width="11.42578125" style="45"/>
    <col min="12049" max="12049" width="12.140625" style="45" customWidth="1"/>
    <col min="12050" max="12050" width="10.5703125" style="45" customWidth="1"/>
    <col min="12051" max="12051" width="12.42578125" style="45" customWidth="1"/>
    <col min="12052" max="12052" width="15.140625" style="45" customWidth="1"/>
    <col min="12053" max="12053" width="13.5703125" style="45" customWidth="1"/>
    <col min="12054" max="12054" width="13.140625" style="45" customWidth="1"/>
    <col min="12055" max="12055" width="15.7109375" style="45" customWidth="1"/>
    <col min="12056" max="12056" width="37.5703125" style="45" customWidth="1"/>
    <col min="12057" max="12278" width="11.42578125" style="45"/>
    <col min="12279" max="12279" width="10.5703125" style="45" customWidth="1"/>
    <col min="12280" max="12280" width="4.85546875" style="45" customWidth="1"/>
    <col min="12281" max="12281" width="32.42578125" style="45" customWidth="1"/>
    <col min="12282" max="12282" width="9.85546875" style="45" customWidth="1"/>
    <col min="12283" max="12283" width="10.140625" style="45" customWidth="1"/>
    <col min="12284" max="12284" width="12.28515625" style="45" customWidth="1"/>
    <col min="12285" max="12285" width="15.42578125" style="45" customWidth="1"/>
    <col min="12286" max="12286" width="11.85546875" style="45" customWidth="1"/>
    <col min="12287" max="12287" width="13.28515625" style="45" customWidth="1"/>
    <col min="12288" max="12288" width="15.28515625" style="45" customWidth="1"/>
    <col min="12289" max="12289" width="11.85546875" style="45" customWidth="1"/>
    <col min="12290" max="12290" width="6.140625" style="45" customWidth="1"/>
    <col min="12291" max="12291" width="11.85546875" style="45" customWidth="1"/>
    <col min="12292" max="12292" width="9.42578125" style="45" customWidth="1"/>
    <col min="12293" max="12293" width="14.7109375" style="45" customWidth="1"/>
    <col min="12294" max="12294" width="11.5703125" style="45" customWidth="1"/>
    <col min="12295" max="12295" width="0.42578125" style="45" customWidth="1"/>
    <col min="12296" max="12296" width="10.5703125" style="45" bestFit="1" customWidth="1"/>
    <col min="12297" max="12297" width="12.28515625" style="45" customWidth="1"/>
    <col min="12298" max="12298" width="12.5703125" style="45" customWidth="1"/>
    <col min="12299" max="12299" width="10.5703125" style="45" customWidth="1"/>
    <col min="12300" max="12300" width="10.140625" style="45" customWidth="1"/>
    <col min="12301" max="12301" width="8.42578125" style="45" customWidth="1"/>
    <col min="12302" max="12302" width="18.85546875" style="45" customWidth="1"/>
    <col min="12303" max="12303" width="10.28515625" style="45" customWidth="1"/>
    <col min="12304" max="12304" width="11.42578125" style="45"/>
    <col min="12305" max="12305" width="12.140625" style="45" customWidth="1"/>
    <col min="12306" max="12306" width="10.5703125" style="45" customWidth="1"/>
    <col min="12307" max="12307" width="12.42578125" style="45" customWidth="1"/>
    <col min="12308" max="12308" width="15.140625" style="45" customWidth="1"/>
    <col min="12309" max="12309" width="13.5703125" style="45" customWidth="1"/>
    <col min="12310" max="12310" width="13.140625" style="45" customWidth="1"/>
    <col min="12311" max="12311" width="15.7109375" style="45" customWidth="1"/>
    <col min="12312" max="12312" width="37.5703125" style="45" customWidth="1"/>
    <col min="12313" max="12534" width="11.42578125" style="45"/>
    <col min="12535" max="12535" width="10.5703125" style="45" customWidth="1"/>
    <col min="12536" max="12536" width="4.85546875" style="45" customWidth="1"/>
    <col min="12537" max="12537" width="32.42578125" style="45" customWidth="1"/>
    <col min="12538" max="12538" width="9.85546875" style="45" customWidth="1"/>
    <col min="12539" max="12539" width="10.140625" style="45" customWidth="1"/>
    <col min="12540" max="12540" width="12.28515625" style="45" customWidth="1"/>
    <col min="12541" max="12541" width="15.42578125" style="45" customWidth="1"/>
    <col min="12542" max="12542" width="11.85546875" style="45" customWidth="1"/>
    <col min="12543" max="12543" width="13.28515625" style="45" customWidth="1"/>
    <col min="12544" max="12544" width="15.28515625" style="45" customWidth="1"/>
    <col min="12545" max="12545" width="11.85546875" style="45" customWidth="1"/>
    <col min="12546" max="12546" width="6.140625" style="45" customWidth="1"/>
    <col min="12547" max="12547" width="11.85546875" style="45" customWidth="1"/>
    <col min="12548" max="12548" width="9.42578125" style="45" customWidth="1"/>
    <col min="12549" max="12549" width="14.7109375" style="45" customWidth="1"/>
    <col min="12550" max="12550" width="11.5703125" style="45" customWidth="1"/>
    <col min="12551" max="12551" width="0.42578125" style="45" customWidth="1"/>
    <col min="12552" max="12552" width="10.5703125" style="45" bestFit="1" customWidth="1"/>
    <col min="12553" max="12553" width="12.28515625" style="45" customWidth="1"/>
    <col min="12554" max="12554" width="12.5703125" style="45" customWidth="1"/>
    <col min="12555" max="12555" width="10.5703125" style="45" customWidth="1"/>
    <col min="12556" max="12556" width="10.140625" style="45" customWidth="1"/>
    <col min="12557" max="12557" width="8.42578125" style="45" customWidth="1"/>
    <col min="12558" max="12558" width="18.85546875" style="45" customWidth="1"/>
    <col min="12559" max="12559" width="10.28515625" style="45" customWidth="1"/>
    <col min="12560" max="12560" width="11.42578125" style="45"/>
    <col min="12561" max="12561" width="12.140625" style="45" customWidth="1"/>
    <col min="12562" max="12562" width="10.5703125" style="45" customWidth="1"/>
    <col min="12563" max="12563" width="12.42578125" style="45" customWidth="1"/>
    <col min="12564" max="12564" width="15.140625" style="45" customWidth="1"/>
    <col min="12565" max="12565" width="13.5703125" style="45" customWidth="1"/>
    <col min="12566" max="12566" width="13.140625" style="45" customWidth="1"/>
    <col min="12567" max="12567" width="15.7109375" style="45" customWidth="1"/>
    <col min="12568" max="12568" width="37.5703125" style="45" customWidth="1"/>
    <col min="12569" max="12790" width="11.42578125" style="45"/>
    <col min="12791" max="12791" width="10.5703125" style="45" customWidth="1"/>
    <col min="12792" max="12792" width="4.85546875" style="45" customWidth="1"/>
    <col min="12793" max="12793" width="32.42578125" style="45" customWidth="1"/>
    <col min="12794" max="12794" width="9.85546875" style="45" customWidth="1"/>
    <col min="12795" max="12795" width="10.140625" style="45" customWidth="1"/>
    <col min="12796" max="12796" width="12.28515625" style="45" customWidth="1"/>
    <col min="12797" max="12797" width="15.42578125" style="45" customWidth="1"/>
    <col min="12798" max="12798" width="11.85546875" style="45" customWidth="1"/>
    <col min="12799" max="12799" width="13.28515625" style="45" customWidth="1"/>
    <col min="12800" max="12800" width="15.28515625" style="45" customWidth="1"/>
    <col min="12801" max="12801" width="11.85546875" style="45" customWidth="1"/>
    <col min="12802" max="12802" width="6.140625" style="45" customWidth="1"/>
    <col min="12803" max="12803" width="11.85546875" style="45" customWidth="1"/>
    <col min="12804" max="12804" width="9.42578125" style="45" customWidth="1"/>
    <col min="12805" max="12805" width="14.7109375" style="45" customWidth="1"/>
    <col min="12806" max="12806" width="11.5703125" style="45" customWidth="1"/>
    <col min="12807" max="12807" width="0.42578125" style="45" customWidth="1"/>
    <col min="12808" max="12808" width="10.5703125" style="45" bestFit="1" customWidth="1"/>
    <col min="12809" max="12809" width="12.28515625" style="45" customWidth="1"/>
    <col min="12810" max="12810" width="12.5703125" style="45" customWidth="1"/>
    <col min="12811" max="12811" width="10.5703125" style="45" customWidth="1"/>
    <col min="12812" max="12812" width="10.140625" style="45" customWidth="1"/>
    <col min="12813" max="12813" width="8.42578125" style="45" customWidth="1"/>
    <col min="12814" max="12814" width="18.85546875" style="45" customWidth="1"/>
    <col min="12815" max="12815" width="10.28515625" style="45" customWidth="1"/>
    <col min="12816" max="12816" width="11.42578125" style="45"/>
    <col min="12817" max="12817" width="12.140625" style="45" customWidth="1"/>
    <col min="12818" max="12818" width="10.5703125" style="45" customWidth="1"/>
    <col min="12819" max="12819" width="12.42578125" style="45" customWidth="1"/>
    <col min="12820" max="12820" width="15.140625" style="45" customWidth="1"/>
    <col min="12821" max="12821" width="13.5703125" style="45" customWidth="1"/>
    <col min="12822" max="12822" width="13.140625" style="45" customWidth="1"/>
    <col min="12823" max="12823" width="15.7109375" style="45" customWidth="1"/>
    <col min="12824" max="12824" width="37.5703125" style="45" customWidth="1"/>
    <col min="12825" max="13046" width="11.42578125" style="45"/>
    <col min="13047" max="13047" width="10.5703125" style="45" customWidth="1"/>
    <col min="13048" max="13048" width="4.85546875" style="45" customWidth="1"/>
    <col min="13049" max="13049" width="32.42578125" style="45" customWidth="1"/>
    <col min="13050" max="13050" width="9.85546875" style="45" customWidth="1"/>
    <col min="13051" max="13051" width="10.140625" style="45" customWidth="1"/>
    <col min="13052" max="13052" width="12.28515625" style="45" customWidth="1"/>
    <col min="13053" max="13053" width="15.42578125" style="45" customWidth="1"/>
    <col min="13054" max="13054" width="11.85546875" style="45" customWidth="1"/>
    <col min="13055" max="13055" width="13.28515625" style="45" customWidth="1"/>
    <col min="13056" max="13056" width="15.28515625" style="45" customWidth="1"/>
    <col min="13057" max="13057" width="11.85546875" style="45" customWidth="1"/>
    <col min="13058" max="13058" width="6.140625" style="45" customWidth="1"/>
    <col min="13059" max="13059" width="11.85546875" style="45" customWidth="1"/>
    <col min="13060" max="13060" width="9.42578125" style="45" customWidth="1"/>
    <col min="13061" max="13061" width="14.7109375" style="45" customWidth="1"/>
    <col min="13062" max="13062" width="11.5703125" style="45" customWidth="1"/>
    <col min="13063" max="13063" width="0.42578125" style="45" customWidth="1"/>
    <col min="13064" max="13064" width="10.5703125" style="45" bestFit="1" customWidth="1"/>
    <col min="13065" max="13065" width="12.28515625" style="45" customWidth="1"/>
    <col min="13066" max="13066" width="12.5703125" style="45" customWidth="1"/>
    <col min="13067" max="13067" width="10.5703125" style="45" customWidth="1"/>
    <col min="13068" max="13068" width="10.140625" style="45" customWidth="1"/>
    <col min="13069" max="13069" width="8.42578125" style="45" customWidth="1"/>
    <col min="13070" max="13070" width="18.85546875" style="45" customWidth="1"/>
    <col min="13071" max="13071" width="10.28515625" style="45" customWidth="1"/>
    <col min="13072" max="13072" width="11.42578125" style="45"/>
    <col min="13073" max="13073" width="12.140625" style="45" customWidth="1"/>
    <col min="13074" max="13074" width="10.5703125" style="45" customWidth="1"/>
    <col min="13075" max="13075" width="12.42578125" style="45" customWidth="1"/>
    <col min="13076" max="13076" width="15.140625" style="45" customWidth="1"/>
    <col min="13077" max="13077" width="13.5703125" style="45" customWidth="1"/>
    <col min="13078" max="13078" width="13.140625" style="45" customWidth="1"/>
    <col min="13079" max="13079" width="15.7109375" style="45" customWidth="1"/>
    <col min="13080" max="13080" width="37.5703125" style="45" customWidth="1"/>
    <col min="13081" max="13302" width="11.42578125" style="45"/>
    <col min="13303" max="13303" width="10.5703125" style="45" customWidth="1"/>
    <col min="13304" max="13304" width="4.85546875" style="45" customWidth="1"/>
    <col min="13305" max="13305" width="32.42578125" style="45" customWidth="1"/>
    <col min="13306" max="13306" width="9.85546875" style="45" customWidth="1"/>
    <col min="13307" max="13307" width="10.140625" style="45" customWidth="1"/>
    <col min="13308" max="13308" width="12.28515625" style="45" customWidth="1"/>
    <col min="13309" max="13309" width="15.42578125" style="45" customWidth="1"/>
    <col min="13310" max="13310" width="11.85546875" style="45" customWidth="1"/>
    <col min="13311" max="13311" width="13.28515625" style="45" customWidth="1"/>
    <col min="13312" max="13312" width="15.28515625" style="45" customWidth="1"/>
    <col min="13313" max="13313" width="11.85546875" style="45" customWidth="1"/>
    <col min="13314" max="13314" width="6.140625" style="45" customWidth="1"/>
    <col min="13315" max="13315" width="11.85546875" style="45" customWidth="1"/>
    <col min="13316" max="13316" width="9.42578125" style="45" customWidth="1"/>
    <col min="13317" max="13317" width="14.7109375" style="45" customWidth="1"/>
    <col min="13318" max="13318" width="11.5703125" style="45" customWidth="1"/>
    <col min="13319" max="13319" width="0.42578125" style="45" customWidth="1"/>
    <col min="13320" max="13320" width="10.5703125" style="45" bestFit="1" customWidth="1"/>
    <col min="13321" max="13321" width="12.28515625" style="45" customWidth="1"/>
    <col min="13322" max="13322" width="12.5703125" style="45" customWidth="1"/>
    <col min="13323" max="13323" width="10.5703125" style="45" customWidth="1"/>
    <col min="13324" max="13324" width="10.140625" style="45" customWidth="1"/>
    <col min="13325" max="13325" width="8.42578125" style="45" customWidth="1"/>
    <col min="13326" max="13326" width="18.85546875" style="45" customWidth="1"/>
    <col min="13327" max="13327" width="10.28515625" style="45" customWidth="1"/>
    <col min="13328" max="13328" width="11.42578125" style="45"/>
    <col min="13329" max="13329" width="12.140625" style="45" customWidth="1"/>
    <col min="13330" max="13330" width="10.5703125" style="45" customWidth="1"/>
    <col min="13331" max="13331" width="12.42578125" style="45" customWidth="1"/>
    <col min="13332" max="13332" width="15.140625" style="45" customWidth="1"/>
    <col min="13333" max="13333" width="13.5703125" style="45" customWidth="1"/>
    <col min="13334" max="13334" width="13.140625" style="45" customWidth="1"/>
    <col min="13335" max="13335" width="15.7109375" style="45" customWidth="1"/>
    <col min="13336" max="13336" width="37.5703125" style="45" customWidth="1"/>
    <col min="13337" max="13558" width="11.42578125" style="45"/>
    <col min="13559" max="13559" width="10.5703125" style="45" customWidth="1"/>
    <col min="13560" max="13560" width="4.85546875" style="45" customWidth="1"/>
    <col min="13561" max="13561" width="32.42578125" style="45" customWidth="1"/>
    <col min="13562" max="13562" width="9.85546875" style="45" customWidth="1"/>
    <col min="13563" max="13563" width="10.140625" style="45" customWidth="1"/>
    <col min="13564" max="13564" width="12.28515625" style="45" customWidth="1"/>
    <col min="13565" max="13565" width="15.42578125" style="45" customWidth="1"/>
    <col min="13566" max="13566" width="11.85546875" style="45" customWidth="1"/>
    <col min="13567" max="13567" width="13.28515625" style="45" customWidth="1"/>
    <col min="13568" max="13568" width="15.28515625" style="45" customWidth="1"/>
    <col min="13569" max="13569" width="11.85546875" style="45" customWidth="1"/>
    <col min="13570" max="13570" width="6.140625" style="45" customWidth="1"/>
    <col min="13571" max="13571" width="11.85546875" style="45" customWidth="1"/>
    <col min="13572" max="13572" width="9.42578125" style="45" customWidth="1"/>
    <col min="13573" max="13573" width="14.7109375" style="45" customWidth="1"/>
    <col min="13574" max="13574" width="11.5703125" style="45" customWidth="1"/>
    <col min="13575" max="13575" width="0.42578125" style="45" customWidth="1"/>
    <col min="13576" max="13576" width="10.5703125" style="45" bestFit="1" customWidth="1"/>
    <col min="13577" max="13577" width="12.28515625" style="45" customWidth="1"/>
    <col min="13578" max="13578" width="12.5703125" style="45" customWidth="1"/>
    <col min="13579" max="13579" width="10.5703125" style="45" customWidth="1"/>
    <col min="13580" max="13580" width="10.140625" style="45" customWidth="1"/>
    <col min="13581" max="13581" width="8.42578125" style="45" customWidth="1"/>
    <col min="13582" max="13582" width="18.85546875" style="45" customWidth="1"/>
    <col min="13583" max="13583" width="10.28515625" style="45" customWidth="1"/>
    <col min="13584" max="13584" width="11.42578125" style="45"/>
    <col min="13585" max="13585" width="12.140625" style="45" customWidth="1"/>
    <col min="13586" max="13586" width="10.5703125" style="45" customWidth="1"/>
    <col min="13587" max="13587" width="12.42578125" style="45" customWidth="1"/>
    <col min="13588" max="13588" width="15.140625" style="45" customWidth="1"/>
    <col min="13589" max="13589" width="13.5703125" style="45" customWidth="1"/>
    <col min="13590" max="13590" width="13.140625" style="45" customWidth="1"/>
    <col min="13591" max="13591" width="15.7109375" style="45" customWidth="1"/>
    <col min="13592" max="13592" width="37.5703125" style="45" customWidth="1"/>
    <col min="13593" max="13814" width="11.42578125" style="45"/>
    <col min="13815" max="13815" width="10.5703125" style="45" customWidth="1"/>
    <col min="13816" max="13816" width="4.85546875" style="45" customWidth="1"/>
    <col min="13817" max="13817" width="32.42578125" style="45" customWidth="1"/>
    <col min="13818" max="13818" width="9.85546875" style="45" customWidth="1"/>
    <col min="13819" max="13819" width="10.140625" style="45" customWidth="1"/>
    <col min="13820" max="13820" width="12.28515625" style="45" customWidth="1"/>
    <col min="13821" max="13821" width="15.42578125" style="45" customWidth="1"/>
    <col min="13822" max="13822" width="11.85546875" style="45" customWidth="1"/>
    <col min="13823" max="13823" width="13.28515625" style="45" customWidth="1"/>
    <col min="13824" max="13824" width="15.28515625" style="45" customWidth="1"/>
    <col min="13825" max="13825" width="11.85546875" style="45" customWidth="1"/>
    <col min="13826" max="13826" width="6.140625" style="45" customWidth="1"/>
    <col min="13827" max="13827" width="11.85546875" style="45" customWidth="1"/>
    <col min="13828" max="13828" width="9.42578125" style="45" customWidth="1"/>
    <col min="13829" max="13829" width="14.7109375" style="45" customWidth="1"/>
    <col min="13830" max="13830" width="11.5703125" style="45" customWidth="1"/>
    <col min="13831" max="13831" width="0.42578125" style="45" customWidth="1"/>
    <col min="13832" max="13832" width="10.5703125" style="45" bestFit="1" customWidth="1"/>
    <col min="13833" max="13833" width="12.28515625" style="45" customWidth="1"/>
    <col min="13834" max="13834" width="12.5703125" style="45" customWidth="1"/>
    <col min="13835" max="13835" width="10.5703125" style="45" customWidth="1"/>
    <col min="13836" max="13836" width="10.140625" style="45" customWidth="1"/>
    <col min="13837" max="13837" width="8.42578125" style="45" customWidth="1"/>
    <col min="13838" max="13838" width="18.85546875" style="45" customWidth="1"/>
    <col min="13839" max="13839" width="10.28515625" style="45" customWidth="1"/>
    <col min="13840" max="13840" width="11.42578125" style="45"/>
    <col min="13841" max="13841" width="12.140625" style="45" customWidth="1"/>
    <col min="13842" max="13842" width="10.5703125" style="45" customWidth="1"/>
    <col min="13843" max="13843" width="12.42578125" style="45" customWidth="1"/>
    <col min="13844" max="13844" width="15.140625" style="45" customWidth="1"/>
    <col min="13845" max="13845" width="13.5703125" style="45" customWidth="1"/>
    <col min="13846" max="13846" width="13.140625" style="45" customWidth="1"/>
    <col min="13847" max="13847" width="15.7109375" style="45" customWidth="1"/>
    <col min="13848" max="13848" width="37.5703125" style="45" customWidth="1"/>
    <col min="13849" max="14070" width="11.42578125" style="45"/>
    <col min="14071" max="14071" width="10.5703125" style="45" customWidth="1"/>
    <col min="14072" max="14072" width="4.85546875" style="45" customWidth="1"/>
    <col min="14073" max="14073" width="32.42578125" style="45" customWidth="1"/>
    <col min="14074" max="14074" width="9.85546875" style="45" customWidth="1"/>
    <col min="14075" max="14075" width="10.140625" style="45" customWidth="1"/>
    <col min="14076" max="14076" width="12.28515625" style="45" customWidth="1"/>
    <col min="14077" max="14077" width="15.42578125" style="45" customWidth="1"/>
    <col min="14078" max="14078" width="11.85546875" style="45" customWidth="1"/>
    <col min="14079" max="14079" width="13.28515625" style="45" customWidth="1"/>
    <col min="14080" max="14080" width="15.28515625" style="45" customWidth="1"/>
    <col min="14081" max="14081" width="11.85546875" style="45" customWidth="1"/>
    <col min="14082" max="14082" width="6.140625" style="45" customWidth="1"/>
    <col min="14083" max="14083" width="11.85546875" style="45" customWidth="1"/>
    <col min="14084" max="14084" width="9.42578125" style="45" customWidth="1"/>
    <col min="14085" max="14085" width="14.7109375" style="45" customWidth="1"/>
    <col min="14086" max="14086" width="11.5703125" style="45" customWidth="1"/>
    <col min="14087" max="14087" width="0.42578125" style="45" customWidth="1"/>
    <col min="14088" max="14088" width="10.5703125" style="45" bestFit="1" customWidth="1"/>
    <col min="14089" max="14089" width="12.28515625" style="45" customWidth="1"/>
    <col min="14090" max="14090" width="12.5703125" style="45" customWidth="1"/>
    <col min="14091" max="14091" width="10.5703125" style="45" customWidth="1"/>
    <col min="14092" max="14092" width="10.140625" style="45" customWidth="1"/>
    <col min="14093" max="14093" width="8.42578125" style="45" customWidth="1"/>
    <col min="14094" max="14094" width="18.85546875" style="45" customWidth="1"/>
    <col min="14095" max="14095" width="10.28515625" style="45" customWidth="1"/>
    <col min="14096" max="14096" width="11.42578125" style="45"/>
    <col min="14097" max="14097" width="12.140625" style="45" customWidth="1"/>
    <col min="14098" max="14098" width="10.5703125" style="45" customWidth="1"/>
    <col min="14099" max="14099" width="12.42578125" style="45" customWidth="1"/>
    <col min="14100" max="14100" width="15.140625" style="45" customWidth="1"/>
    <col min="14101" max="14101" width="13.5703125" style="45" customWidth="1"/>
    <col min="14102" max="14102" width="13.140625" style="45" customWidth="1"/>
    <col min="14103" max="14103" width="15.7109375" style="45" customWidth="1"/>
    <col min="14104" max="14104" width="37.5703125" style="45" customWidth="1"/>
    <col min="14105" max="14326" width="11.42578125" style="45"/>
    <col min="14327" max="14327" width="10.5703125" style="45" customWidth="1"/>
    <col min="14328" max="14328" width="4.85546875" style="45" customWidth="1"/>
    <col min="14329" max="14329" width="32.42578125" style="45" customWidth="1"/>
    <col min="14330" max="14330" width="9.85546875" style="45" customWidth="1"/>
    <col min="14331" max="14331" width="10.140625" style="45" customWidth="1"/>
    <col min="14332" max="14332" width="12.28515625" style="45" customWidth="1"/>
    <col min="14333" max="14333" width="15.42578125" style="45" customWidth="1"/>
    <col min="14334" max="14334" width="11.85546875" style="45" customWidth="1"/>
    <col min="14335" max="14335" width="13.28515625" style="45" customWidth="1"/>
    <col min="14336" max="14336" width="15.28515625" style="45" customWidth="1"/>
    <col min="14337" max="14337" width="11.85546875" style="45" customWidth="1"/>
    <col min="14338" max="14338" width="6.140625" style="45" customWidth="1"/>
    <col min="14339" max="14339" width="11.85546875" style="45" customWidth="1"/>
    <col min="14340" max="14340" width="9.42578125" style="45" customWidth="1"/>
    <col min="14341" max="14341" width="14.7109375" style="45" customWidth="1"/>
    <col min="14342" max="14342" width="11.5703125" style="45" customWidth="1"/>
    <col min="14343" max="14343" width="0.42578125" style="45" customWidth="1"/>
    <col min="14344" max="14344" width="10.5703125" style="45" bestFit="1" customWidth="1"/>
    <col min="14345" max="14345" width="12.28515625" style="45" customWidth="1"/>
    <col min="14346" max="14346" width="12.5703125" style="45" customWidth="1"/>
    <col min="14347" max="14347" width="10.5703125" style="45" customWidth="1"/>
    <col min="14348" max="14348" width="10.140625" style="45" customWidth="1"/>
    <col min="14349" max="14349" width="8.42578125" style="45" customWidth="1"/>
    <col min="14350" max="14350" width="18.85546875" style="45" customWidth="1"/>
    <col min="14351" max="14351" width="10.28515625" style="45" customWidth="1"/>
    <col min="14352" max="14352" width="11.42578125" style="45"/>
    <col min="14353" max="14353" width="12.140625" style="45" customWidth="1"/>
    <col min="14354" max="14354" width="10.5703125" style="45" customWidth="1"/>
    <col min="14355" max="14355" width="12.42578125" style="45" customWidth="1"/>
    <col min="14356" max="14356" width="15.140625" style="45" customWidth="1"/>
    <col min="14357" max="14357" width="13.5703125" style="45" customWidth="1"/>
    <col min="14358" max="14358" width="13.140625" style="45" customWidth="1"/>
    <col min="14359" max="14359" width="15.7109375" style="45" customWidth="1"/>
    <col min="14360" max="14360" width="37.5703125" style="45" customWidth="1"/>
    <col min="14361" max="14582" width="11.42578125" style="45"/>
    <col min="14583" max="14583" width="10.5703125" style="45" customWidth="1"/>
    <col min="14584" max="14584" width="4.85546875" style="45" customWidth="1"/>
    <col min="14585" max="14585" width="32.42578125" style="45" customWidth="1"/>
    <col min="14586" max="14586" width="9.85546875" style="45" customWidth="1"/>
    <col min="14587" max="14587" width="10.140625" style="45" customWidth="1"/>
    <col min="14588" max="14588" width="12.28515625" style="45" customWidth="1"/>
    <col min="14589" max="14589" width="15.42578125" style="45" customWidth="1"/>
    <col min="14590" max="14590" width="11.85546875" style="45" customWidth="1"/>
    <col min="14591" max="14591" width="13.28515625" style="45" customWidth="1"/>
    <col min="14592" max="14592" width="15.28515625" style="45" customWidth="1"/>
    <col min="14593" max="14593" width="11.85546875" style="45" customWidth="1"/>
    <col min="14594" max="14594" width="6.140625" style="45" customWidth="1"/>
    <col min="14595" max="14595" width="11.85546875" style="45" customWidth="1"/>
    <col min="14596" max="14596" width="9.42578125" style="45" customWidth="1"/>
    <col min="14597" max="14597" width="14.7109375" style="45" customWidth="1"/>
    <col min="14598" max="14598" width="11.5703125" style="45" customWidth="1"/>
    <col min="14599" max="14599" width="0.42578125" style="45" customWidth="1"/>
    <col min="14600" max="14600" width="10.5703125" style="45" bestFit="1" customWidth="1"/>
    <col min="14601" max="14601" width="12.28515625" style="45" customWidth="1"/>
    <col min="14602" max="14602" width="12.5703125" style="45" customWidth="1"/>
    <col min="14603" max="14603" width="10.5703125" style="45" customWidth="1"/>
    <col min="14604" max="14604" width="10.140625" style="45" customWidth="1"/>
    <col min="14605" max="14605" width="8.42578125" style="45" customWidth="1"/>
    <col min="14606" max="14606" width="18.85546875" style="45" customWidth="1"/>
    <col min="14607" max="14607" width="10.28515625" style="45" customWidth="1"/>
    <col min="14608" max="14608" width="11.42578125" style="45"/>
    <col min="14609" max="14609" width="12.140625" style="45" customWidth="1"/>
    <col min="14610" max="14610" width="10.5703125" style="45" customWidth="1"/>
    <col min="14611" max="14611" width="12.42578125" style="45" customWidth="1"/>
    <col min="14612" max="14612" width="15.140625" style="45" customWidth="1"/>
    <col min="14613" max="14613" width="13.5703125" style="45" customWidth="1"/>
    <col min="14614" max="14614" width="13.140625" style="45" customWidth="1"/>
    <col min="14615" max="14615" width="15.7109375" style="45" customWidth="1"/>
    <col min="14616" max="14616" width="37.5703125" style="45" customWidth="1"/>
    <col min="14617" max="14838" width="11.42578125" style="45"/>
    <col min="14839" max="14839" width="10.5703125" style="45" customWidth="1"/>
    <col min="14840" max="14840" width="4.85546875" style="45" customWidth="1"/>
    <col min="14841" max="14841" width="32.42578125" style="45" customWidth="1"/>
    <col min="14842" max="14842" width="9.85546875" style="45" customWidth="1"/>
    <col min="14843" max="14843" width="10.140625" style="45" customWidth="1"/>
    <col min="14844" max="14844" width="12.28515625" style="45" customWidth="1"/>
    <col min="14845" max="14845" width="15.42578125" style="45" customWidth="1"/>
    <col min="14846" max="14846" width="11.85546875" style="45" customWidth="1"/>
    <col min="14847" max="14847" width="13.28515625" style="45" customWidth="1"/>
    <col min="14848" max="14848" width="15.28515625" style="45" customWidth="1"/>
    <col min="14849" max="14849" width="11.85546875" style="45" customWidth="1"/>
    <col min="14850" max="14850" width="6.140625" style="45" customWidth="1"/>
    <col min="14851" max="14851" width="11.85546875" style="45" customWidth="1"/>
    <col min="14852" max="14852" width="9.42578125" style="45" customWidth="1"/>
    <col min="14853" max="14853" width="14.7109375" style="45" customWidth="1"/>
    <col min="14854" max="14854" width="11.5703125" style="45" customWidth="1"/>
    <col min="14855" max="14855" width="0.42578125" style="45" customWidth="1"/>
    <col min="14856" max="14856" width="10.5703125" style="45" bestFit="1" customWidth="1"/>
    <col min="14857" max="14857" width="12.28515625" style="45" customWidth="1"/>
    <col min="14858" max="14858" width="12.5703125" style="45" customWidth="1"/>
    <col min="14859" max="14859" width="10.5703125" style="45" customWidth="1"/>
    <col min="14860" max="14860" width="10.140625" style="45" customWidth="1"/>
    <col min="14861" max="14861" width="8.42578125" style="45" customWidth="1"/>
    <col min="14862" max="14862" width="18.85546875" style="45" customWidth="1"/>
    <col min="14863" max="14863" width="10.28515625" style="45" customWidth="1"/>
    <col min="14864" max="14864" width="11.42578125" style="45"/>
    <col min="14865" max="14865" width="12.140625" style="45" customWidth="1"/>
    <col min="14866" max="14866" width="10.5703125" style="45" customWidth="1"/>
    <col min="14867" max="14867" width="12.42578125" style="45" customWidth="1"/>
    <col min="14868" max="14868" width="15.140625" style="45" customWidth="1"/>
    <col min="14869" max="14869" width="13.5703125" style="45" customWidth="1"/>
    <col min="14870" max="14870" width="13.140625" style="45" customWidth="1"/>
    <col min="14871" max="14871" width="15.7109375" style="45" customWidth="1"/>
    <col min="14872" max="14872" width="37.5703125" style="45" customWidth="1"/>
    <col min="14873" max="15094" width="11.42578125" style="45"/>
    <col min="15095" max="15095" width="10.5703125" style="45" customWidth="1"/>
    <col min="15096" max="15096" width="4.85546875" style="45" customWidth="1"/>
    <col min="15097" max="15097" width="32.42578125" style="45" customWidth="1"/>
    <col min="15098" max="15098" width="9.85546875" style="45" customWidth="1"/>
    <col min="15099" max="15099" width="10.140625" style="45" customWidth="1"/>
    <col min="15100" max="15100" width="12.28515625" style="45" customWidth="1"/>
    <col min="15101" max="15101" width="15.42578125" style="45" customWidth="1"/>
    <col min="15102" max="15102" width="11.85546875" style="45" customWidth="1"/>
    <col min="15103" max="15103" width="13.28515625" style="45" customWidth="1"/>
    <col min="15104" max="15104" width="15.28515625" style="45" customWidth="1"/>
    <col min="15105" max="15105" width="11.85546875" style="45" customWidth="1"/>
    <col min="15106" max="15106" width="6.140625" style="45" customWidth="1"/>
    <col min="15107" max="15107" width="11.85546875" style="45" customWidth="1"/>
    <col min="15108" max="15108" width="9.42578125" style="45" customWidth="1"/>
    <col min="15109" max="15109" width="14.7109375" style="45" customWidth="1"/>
    <col min="15110" max="15110" width="11.5703125" style="45" customWidth="1"/>
    <col min="15111" max="15111" width="0.42578125" style="45" customWidth="1"/>
    <col min="15112" max="15112" width="10.5703125" style="45" bestFit="1" customWidth="1"/>
    <col min="15113" max="15113" width="12.28515625" style="45" customWidth="1"/>
    <col min="15114" max="15114" width="12.5703125" style="45" customWidth="1"/>
    <col min="15115" max="15115" width="10.5703125" style="45" customWidth="1"/>
    <col min="15116" max="15116" width="10.140625" style="45" customWidth="1"/>
    <col min="15117" max="15117" width="8.42578125" style="45" customWidth="1"/>
    <col min="15118" max="15118" width="18.85546875" style="45" customWidth="1"/>
    <col min="15119" max="15119" width="10.28515625" style="45" customWidth="1"/>
    <col min="15120" max="15120" width="11.42578125" style="45"/>
    <col min="15121" max="15121" width="12.140625" style="45" customWidth="1"/>
    <col min="15122" max="15122" width="10.5703125" style="45" customWidth="1"/>
    <col min="15123" max="15123" width="12.42578125" style="45" customWidth="1"/>
    <col min="15124" max="15124" width="15.140625" style="45" customWidth="1"/>
    <col min="15125" max="15125" width="13.5703125" style="45" customWidth="1"/>
    <col min="15126" max="15126" width="13.140625" style="45" customWidth="1"/>
    <col min="15127" max="15127" width="15.7109375" style="45" customWidth="1"/>
    <col min="15128" max="15128" width="37.5703125" style="45" customWidth="1"/>
    <col min="15129" max="15350" width="11.42578125" style="45"/>
    <col min="15351" max="15351" width="10.5703125" style="45" customWidth="1"/>
    <col min="15352" max="15352" width="4.85546875" style="45" customWidth="1"/>
    <col min="15353" max="15353" width="32.42578125" style="45" customWidth="1"/>
    <col min="15354" max="15354" width="9.85546875" style="45" customWidth="1"/>
    <col min="15355" max="15355" width="10.140625" style="45" customWidth="1"/>
    <col min="15356" max="15356" width="12.28515625" style="45" customWidth="1"/>
    <col min="15357" max="15357" width="15.42578125" style="45" customWidth="1"/>
    <col min="15358" max="15358" width="11.85546875" style="45" customWidth="1"/>
    <col min="15359" max="15359" width="13.28515625" style="45" customWidth="1"/>
    <col min="15360" max="15360" width="15.28515625" style="45" customWidth="1"/>
    <col min="15361" max="15361" width="11.85546875" style="45" customWidth="1"/>
    <col min="15362" max="15362" width="6.140625" style="45" customWidth="1"/>
    <col min="15363" max="15363" width="11.85546875" style="45" customWidth="1"/>
    <col min="15364" max="15364" width="9.42578125" style="45" customWidth="1"/>
    <col min="15365" max="15365" width="14.7109375" style="45" customWidth="1"/>
    <col min="15366" max="15366" width="11.5703125" style="45" customWidth="1"/>
    <col min="15367" max="15367" width="0.42578125" style="45" customWidth="1"/>
    <col min="15368" max="15368" width="10.5703125" style="45" bestFit="1" customWidth="1"/>
    <col min="15369" max="15369" width="12.28515625" style="45" customWidth="1"/>
    <col min="15370" max="15370" width="12.5703125" style="45" customWidth="1"/>
    <col min="15371" max="15371" width="10.5703125" style="45" customWidth="1"/>
    <col min="15372" max="15372" width="10.140625" style="45" customWidth="1"/>
    <col min="15373" max="15373" width="8.42578125" style="45" customWidth="1"/>
    <col min="15374" max="15374" width="18.85546875" style="45" customWidth="1"/>
    <col min="15375" max="15375" width="10.28515625" style="45" customWidth="1"/>
    <col min="15376" max="15376" width="11.42578125" style="45"/>
    <col min="15377" max="15377" width="12.140625" style="45" customWidth="1"/>
    <col min="15378" max="15378" width="10.5703125" style="45" customWidth="1"/>
    <col min="15379" max="15379" width="12.42578125" style="45" customWidth="1"/>
    <col min="15380" max="15380" width="15.140625" style="45" customWidth="1"/>
    <col min="15381" max="15381" width="13.5703125" style="45" customWidth="1"/>
    <col min="15382" max="15382" width="13.140625" style="45" customWidth="1"/>
    <col min="15383" max="15383" width="15.7109375" style="45" customWidth="1"/>
    <col min="15384" max="15384" width="37.5703125" style="45" customWidth="1"/>
    <col min="15385" max="15606" width="11.42578125" style="45"/>
    <col min="15607" max="15607" width="10.5703125" style="45" customWidth="1"/>
    <col min="15608" max="15608" width="4.85546875" style="45" customWidth="1"/>
    <col min="15609" max="15609" width="32.42578125" style="45" customWidth="1"/>
    <col min="15610" max="15610" width="9.85546875" style="45" customWidth="1"/>
    <col min="15611" max="15611" width="10.140625" style="45" customWidth="1"/>
    <col min="15612" max="15612" width="12.28515625" style="45" customWidth="1"/>
    <col min="15613" max="15613" width="15.42578125" style="45" customWidth="1"/>
    <col min="15614" max="15614" width="11.85546875" style="45" customWidth="1"/>
    <col min="15615" max="15615" width="13.28515625" style="45" customWidth="1"/>
    <col min="15616" max="15616" width="15.28515625" style="45" customWidth="1"/>
    <col min="15617" max="15617" width="11.85546875" style="45" customWidth="1"/>
    <col min="15618" max="15618" width="6.140625" style="45" customWidth="1"/>
    <col min="15619" max="15619" width="11.85546875" style="45" customWidth="1"/>
    <col min="15620" max="15620" width="9.42578125" style="45" customWidth="1"/>
    <col min="15621" max="15621" width="14.7109375" style="45" customWidth="1"/>
    <col min="15622" max="15622" width="11.5703125" style="45" customWidth="1"/>
    <col min="15623" max="15623" width="0.42578125" style="45" customWidth="1"/>
    <col min="15624" max="15624" width="10.5703125" style="45" bestFit="1" customWidth="1"/>
    <col min="15625" max="15625" width="12.28515625" style="45" customWidth="1"/>
    <col min="15626" max="15626" width="12.5703125" style="45" customWidth="1"/>
    <col min="15627" max="15627" width="10.5703125" style="45" customWidth="1"/>
    <col min="15628" max="15628" width="10.140625" style="45" customWidth="1"/>
    <col min="15629" max="15629" width="8.42578125" style="45" customWidth="1"/>
    <col min="15630" max="15630" width="18.85546875" style="45" customWidth="1"/>
    <col min="15631" max="15631" width="10.28515625" style="45" customWidth="1"/>
    <col min="15632" max="15632" width="11.42578125" style="45"/>
    <col min="15633" max="15633" width="12.140625" style="45" customWidth="1"/>
    <col min="15634" max="15634" width="10.5703125" style="45" customWidth="1"/>
    <col min="15635" max="15635" width="12.42578125" style="45" customWidth="1"/>
    <col min="15636" max="15636" width="15.140625" style="45" customWidth="1"/>
    <col min="15637" max="15637" width="13.5703125" style="45" customWidth="1"/>
    <col min="15638" max="15638" width="13.140625" style="45" customWidth="1"/>
    <col min="15639" max="15639" width="15.7109375" style="45" customWidth="1"/>
    <col min="15640" max="15640" width="37.5703125" style="45" customWidth="1"/>
    <col min="15641" max="15862" width="11.42578125" style="45"/>
    <col min="15863" max="15863" width="10.5703125" style="45" customWidth="1"/>
    <col min="15864" max="15864" width="4.85546875" style="45" customWidth="1"/>
    <col min="15865" max="15865" width="32.42578125" style="45" customWidth="1"/>
    <col min="15866" max="15866" width="9.85546875" style="45" customWidth="1"/>
    <col min="15867" max="15867" width="10.140625" style="45" customWidth="1"/>
    <col min="15868" max="15868" width="12.28515625" style="45" customWidth="1"/>
    <col min="15869" max="15869" width="15.42578125" style="45" customWidth="1"/>
    <col min="15870" max="15870" width="11.85546875" style="45" customWidth="1"/>
    <col min="15871" max="15871" width="13.28515625" style="45" customWidth="1"/>
    <col min="15872" max="15872" width="15.28515625" style="45" customWidth="1"/>
    <col min="15873" max="15873" width="11.85546875" style="45" customWidth="1"/>
    <col min="15874" max="15874" width="6.140625" style="45" customWidth="1"/>
    <col min="15875" max="15875" width="11.85546875" style="45" customWidth="1"/>
    <col min="15876" max="15876" width="9.42578125" style="45" customWidth="1"/>
    <col min="15877" max="15877" width="14.7109375" style="45" customWidth="1"/>
    <col min="15878" max="15878" width="11.5703125" style="45" customWidth="1"/>
    <col min="15879" max="15879" width="0.42578125" style="45" customWidth="1"/>
    <col min="15880" max="15880" width="10.5703125" style="45" bestFit="1" customWidth="1"/>
    <col min="15881" max="15881" width="12.28515625" style="45" customWidth="1"/>
    <col min="15882" max="15882" width="12.5703125" style="45" customWidth="1"/>
    <col min="15883" max="15883" width="10.5703125" style="45" customWidth="1"/>
    <col min="15884" max="15884" width="10.140625" style="45" customWidth="1"/>
    <col min="15885" max="15885" width="8.42578125" style="45" customWidth="1"/>
    <col min="15886" max="15886" width="18.85546875" style="45" customWidth="1"/>
    <col min="15887" max="15887" width="10.28515625" style="45" customWidth="1"/>
    <col min="15888" max="15888" width="11.42578125" style="45"/>
    <col min="15889" max="15889" width="12.140625" style="45" customWidth="1"/>
    <col min="15890" max="15890" width="10.5703125" style="45" customWidth="1"/>
    <col min="15891" max="15891" width="12.42578125" style="45" customWidth="1"/>
    <col min="15892" max="15892" width="15.140625" style="45" customWidth="1"/>
    <col min="15893" max="15893" width="13.5703125" style="45" customWidth="1"/>
    <col min="15894" max="15894" width="13.140625" style="45" customWidth="1"/>
    <col min="15895" max="15895" width="15.7109375" style="45" customWidth="1"/>
    <col min="15896" max="15896" width="37.5703125" style="45" customWidth="1"/>
    <col min="15897" max="16118" width="11.42578125" style="45"/>
    <col min="16119" max="16119" width="10.5703125" style="45" customWidth="1"/>
    <col min="16120" max="16120" width="4.85546875" style="45" customWidth="1"/>
    <col min="16121" max="16121" width="32.42578125" style="45" customWidth="1"/>
    <col min="16122" max="16122" width="9.85546875" style="45" customWidth="1"/>
    <col min="16123" max="16123" width="10.140625" style="45" customWidth="1"/>
    <col min="16124" max="16124" width="12.28515625" style="45" customWidth="1"/>
    <col min="16125" max="16125" width="15.42578125" style="45" customWidth="1"/>
    <col min="16126" max="16126" width="11.85546875" style="45" customWidth="1"/>
    <col min="16127" max="16127" width="13.28515625" style="45" customWidth="1"/>
    <col min="16128" max="16128" width="15.28515625" style="45" customWidth="1"/>
    <col min="16129" max="16129" width="11.85546875" style="45" customWidth="1"/>
    <col min="16130" max="16130" width="6.140625" style="45" customWidth="1"/>
    <col min="16131" max="16131" width="11.85546875" style="45" customWidth="1"/>
    <col min="16132" max="16132" width="9.42578125" style="45" customWidth="1"/>
    <col min="16133" max="16133" width="14.7109375" style="45" customWidth="1"/>
    <col min="16134" max="16134" width="11.5703125" style="45" customWidth="1"/>
    <col min="16135" max="16135" width="0.42578125" style="45" customWidth="1"/>
    <col min="16136" max="16136" width="10.5703125" style="45" bestFit="1" customWidth="1"/>
    <col min="16137" max="16137" width="12.28515625" style="45" customWidth="1"/>
    <col min="16138" max="16138" width="12.5703125" style="45" customWidth="1"/>
    <col min="16139" max="16139" width="10.5703125" style="45" customWidth="1"/>
    <col min="16140" max="16140" width="10.140625" style="45" customWidth="1"/>
    <col min="16141" max="16141" width="8.42578125" style="45" customWidth="1"/>
    <col min="16142" max="16142" width="18.85546875" style="45" customWidth="1"/>
    <col min="16143" max="16143" width="10.28515625" style="45" customWidth="1"/>
    <col min="16144" max="16144" width="11.42578125" style="45"/>
    <col min="16145" max="16145" width="12.140625" style="45" customWidth="1"/>
    <col min="16146" max="16146" width="10.5703125" style="45" customWidth="1"/>
    <col min="16147" max="16147" width="12.42578125" style="45" customWidth="1"/>
    <col min="16148" max="16148" width="15.140625" style="45" customWidth="1"/>
    <col min="16149" max="16149" width="13.5703125" style="45" customWidth="1"/>
    <col min="16150" max="16150" width="13.140625" style="45" customWidth="1"/>
    <col min="16151" max="16151" width="15.7109375" style="45" customWidth="1"/>
    <col min="16152" max="16152" width="37.5703125" style="45" customWidth="1"/>
    <col min="16153" max="16384" width="11.42578125" style="45"/>
  </cols>
  <sheetData>
    <row r="1" spans="1:24" x14ac:dyDescent="0.25">
      <c r="C1" s="87" t="s">
        <v>153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4"/>
      <c r="W1" s="44"/>
      <c r="X1" s="4"/>
    </row>
    <row r="2" spans="1:24" x14ac:dyDescent="0.25">
      <c r="C2" s="3" t="s">
        <v>1</v>
      </c>
      <c r="D2" s="4"/>
      <c r="E2" s="88" t="s">
        <v>2</v>
      </c>
      <c r="F2" s="88"/>
      <c r="G2" s="88"/>
      <c r="H2" s="88"/>
      <c r="I2" s="88"/>
      <c r="J2" s="88"/>
      <c r="K2" s="88"/>
      <c r="L2" s="88" t="s">
        <v>3</v>
      </c>
      <c r="M2" s="88"/>
      <c r="N2" s="88"/>
      <c r="O2" s="88"/>
      <c r="P2" s="88"/>
      <c r="Q2" s="88"/>
      <c r="R2" s="88"/>
      <c r="S2" s="88"/>
      <c r="T2" s="88"/>
      <c r="U2" s="4"/>
      <c r="V2" s="4"/>
      <c r="W2" s="44"/>
      <c r="X2" s="4"/>
    </row>
    <row r="3" spans="1:24" ht="48" x14ac:dyDescent="0.25">
      <c r="A3" s="89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13</v>
      </c>
      <c r="K3" s="12" t="s">
        <v>14</v>
      </c>
      <c r="L3" s="12" t="s">
        <v>15</v>
      </c>
      <c r="M3" s="12" t="s">
        <v>16</v>
      </c>
      <c r="N3" s="12" t="s">
        <v>17</v>
      </c>
      <c r="O3" s="12" t="s">
        <v>147</v>
      </c>
      <c r="P3" s="12" t="s">
        <v>19</v>
      </c>
      <c r="Q3" s="12" t="s">
        <v>20</v>
      </c>
      <c r="R3" s="12" t="s">
        <v>21</v>
      </c>
      <c r="S3" s="12" t="s">
        <v>22</v>
      </c>
      <c r="T3" s="12" t="s">
        <v>23</v>
      </c>
      <c r="U3" s="6" t="s">
        <v>24</v>
      </c>
      <c r="V3" s="6"/>
      <c r="W3" s="46"/>
      <c r="X3" s="6" t="s">
        <v>148</v>
      </c>
    </row>
    <row r="4" spans="1:24" x14ac:dyDescent="0.25">
      <c r="A4" s="90"/>
      <c r="B4" s="4">
        <v>1</v>
      </c>
      <c r="C4" s="11" t="s">
        <v>26</v>
      </c>
      <c r="D4" s="6" t="s">
        <v>27</v>
      </c>
      <c r="E4" s="5">
        <v>4815000</v>
      </c>
      <c r="F4" s="5">
        <v>30</v>
      </c>
      <c r="G4" s="5">
        <v>4815000</v>
      </c>
      <c r="H4" s="5"/>
      <c r="I4" s="5"/>
      <c r="J4" s="5"/>
      <c r="K4" s="5">
        <f t="shared" ref="K4:K33" si="0">SUM(G4:I4)+J4</f>
        <v>4815000</v>
      </c>
      <c r="L4" s="5">
        <f t="shared" ref="L4:L32" si="1">+G4*4%</f>
        <v>192600</v>
      </c>
      <c r="M4" s="5">
        <f>+G4*5%</f>
        <v>240750</v>
      </c>
      <c r="N4" s="5"/>
      <c r="O4" s="5"/>
      <c r="P4" s="5">
        <v>19000</v>
      </c>
      <c r="Q4" s="5"/>
      <c r="R4" s="5"/>
      <c r="S4" s="5"/>
      <c r="T4" s="5">
        <f t="shared" ref="T4:T51" si="2">SUM(L4:S4)</f>
        <v>452350</v>
      </c>
      <c r="U4" s="7">
        <f t="shared" ref="U4:U9" si="3">+K4-T4</f>
        <v>4362650</v>
      </c>
      <c r="V4" s="7"/>
      <c r="W4" s="44"/>
      <c r="X4" s="7">
        <f t="shared" ref="X4:X67" si="4">U4+V4-W4</f>
        <v>4362650</v>
      </c>
    </row>
    <row r="5" spans="1:24" ht="24" x14ac:dyDescent="0.25">
      <c r="A5" s="90"/>
      <c r="B5" s="4">
        <v>2</v>
      </c>
      <c r="C5" s="11" t="s">
        <v>28</v>
      </c>
      <c r="D5" s="6" t="s">
        <v>27</v>
      </c>
      <c r="E5" s="5">
        <v>4000000</v>
      </c>
      <c r="F5" s="5">
        <v>30</v>
      </c>
      <c r="G5" s="5">
        <f t="shared" ref="G5:G9" si="5">+E5/30*F5</f>
        <v>4000000.0000000005</v>
      </c>
      <c r="H5" s="5"/>
      <c r="I5" s="5">
        <v>800000</v>
      </c>
      <c r="J5" s="5"/>
      <c r="K5" s="5">
        <f t="shared" si="0"/>
        <v>4800000</v>
      </c>
      <c r="L5" s="5">
        <f>+E5*4%</f>
        <v>160000</v>
      </c>
      <c r="M5" s="5">
        <f>+E5*5%</f>
        <v>200000</v>
      </c>
      <c r="N5" s="5"/>
      <c r="O5" s="5"/>
      <c r="P5" s="5">
        <v>31064</v>
      </c>
      <c r="Q5" s="5"/>
      <c r="R5" s="5"/>
      <c r="S5" s="5"/>
      <c r="T5" s="5">
        <f t="shared" si="2"/>
        <v>391064</v>
      </c>
      <c r="U5" s="7">
        <f t="shared" si="3"/>
        <v>4408936</v>
      </c>
      <c r="V5" s="7"/>
      <c r="W5" s="44"/>
      <c r="X5" s="7">
        <f t="shared" si="4"/>
        <v>4408936</v>
      </c>
    </row>
    <row r="6" spans="1:24" x14ac:dyDescent="0.25">
      <c r="A6" s="90"/>
      <c r="B6" s="4">
        <v>3</v>
      </c>
      <c r="C6" s="11" t="s">
        <v>29</v>
      </c>
      <c r="D6" s="6" t="s">
        <v>27</v>
      </c>
      <c r="E6" s="5">
        <v>5500000</v>
      </c>
      <c r="F6" s="5">
        <v>30</v>
      </c>
      <c r="G6" s="5">
        <f t="shared" si="5"/>
        <v>5500000</v>
      </c>
      <c r="H6" s="5"/>
      <c r="I6" s="5"/>
      <c r="J6" s="5"/>
      <c r="K6" s="5">
        <f t="shared" si="0"/>
        <v>5500000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4903000</v>
      </c>
      <c r="V6" s="7"/>
      <c r="W6" s="44"/>
      <c r="X6" s="7">
        <f t="shared" si="4"/>
        <v>4903000</v>
      </c>
    </row>
    <row r="7" spans="1:24" x14ac:dyDescent="0.25">
      <c r="A7" s="90"/>
      <c r="B7" s="4">
        <v>4</v>
      </c>
      <c r="C7" s="11" t="s">
        <v>30</v>
      </c>
      <c r="D7" s="6" t="s">
        <v>27</v>
      </c>
      <c r="E7" s="5">
        <v>5492319</v>
      </c>
      <c r="F7" s="5">
        <v>30</v>
      </c>
      <c r="G7" s="5">
        <f t="shared" si="5"/>
        <v>5492319</v>
      </c>
      <c r="H7" s="5"/>
      <c r="I7" s="5"/>
      <c r="J7" s="5"/>
      <c r="K7" s="5">
        <f t="shared" ref="K7" si="6">SUM(G7:I7)+J7</f>
        <v>5492319</v>
      </c>
      <c r="L7" s="5">
        <f>+K7*4%</f>
        <v>219692.76</v>
      </c>
      <c r="M7" s="5">
        <f>+K7*5%</f>
        <v>274615.95</v>
      </c>
      <c r="N7" s="5"/>
      <c r="O7" s="5"/>
      <c r="P7" s="17">
        <v>98000</v>
      </c>
      <c r="Q7" s="5"/>
      <c r="R7" s="5"/>
      <c r="S7" s="5">
        <v>726520</v>
      </c>
      <c r="T7" s="5">
        <f t="shared" ref="T7" si="7">SUM(L7:S7)</f>
        <v>1318828.71</v>
      </c>
      <c r="U7" s="7">
        <f t="shared" si="3"/>
        <v>4173490.29</v>
      </c>
      <c r="V7" s="7"/>
      <c r="W7" s="44"/>
      <c r="X7" s="7">
        <f t="shared" si="4"/>
        <v>4173490.29</v>
      </c>
    </row>
    <row r="8" spans="1:24" x14ac:dyDescent="0.25">
      <c r="A8" s="90"/>
      <c r="B8" s="4">
        <v>5</v>
      </c>
      <c r="C8" s="11" t="s">
        <v>142</v>
      </c>
      <c r="D8" s="6" t="s">
        <v>27</v>
      </c>
      <c r="E8" s="5">
        <v>5000000</v>
      </c>
      <c r="F8" s="5">
        <v>30</v>
      </c>
      <c r="G8" s="5">
        <f t="shared" si="5"/>
        <v>5000000</v>
      </c>
      <c r="H8" s="5"/>
      <c r="I8" s="5"/>
      <c r="J8" s="5"/>
      <c r="K8" s="5">
        <f t="shared" si="0"/>
        <v>5000000</v>
      </c>
      <c r="L8" s="5">
        <f>+K8*4%</f>
        <v>200000</v>
      </c>
      <c r="M8" s="5">
        <f>+K8*5%</f>
        <v>250000</v>
      </c>
      <c r="N8" s="5"/>
      <c r="O8" s="5"/>
      <c r="P8" s="17">
        <v>102000</v>
      </c>
      <c r="Q8" s="5"/>
      <c r="R8" s="5"/>
      <c r="S8" s="5"/>
      <c r="T8" s="5">
        <f t="shared" si="2"/>
        <v>552000</v>
      </c>
      <c r="U8" s="7">
        <f t="shared" si="3"/>
        <v>4448000</v>
      </c>
      <c r="V8" s="7"/>
      <c r="W8" s="44"/>
      <c r="X8" s="7">
        <f t="shared" si="4"/>
        <v>4448000</v>
      </c>
    </row>
    <row r="9" spans="1:24" x14ac:dyDescent="0.25">
      <c r="A9" s="90"/>
      <c r="B9" s="4">
        <v>6</v>
      </c>
      <c r="C9" s="11" t="s">
        <v>31</v>
      </c>
      <c r="D9" s="6" t="s">
        <v>27</v>
      </c>
      <c r="E9" s="5">
        <v>5000000</v>
      </c>
      <c r="F9" s="5">
        <v>30</v>
      </c>
      <c r="G9" s="5">
        <f t="shared" si="5"/>
        <v>5000000</v>
      </c>
      <c r="H9" s="5"/>
      <c r="I9" s="5">
        <v>2012670</v>
      </c>
      <c r="J9" s="5"/>
      <c r="K9" s="5">
        <f t="shared" si="0"/>
        <v>7012670</v>
      </c>
      <c r="L9" s="5">
        <f t="shared" si="1"/>
        <v>200000</v>
      </c>
      <c r="M9" s="5">
        <f t="shared" ref="M9:M32" si="8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2"/>
        <v>1200000</v>
      </c>
      <c r="U9" s="7">
        <f t="shared" si="3"/>
        <v>5812670</v>
      </c>
      <c r="V9" s="7"/>
      <c r="W9" s="44"/>
      <c r="X9" s="7">
        <f t="shared" si="4"/>
        <v>5812670</v>
      </c>
    </row>
    <row r="10" spans="1:24" x14ac:dyDescent="0.25">
      <c r="A10" s="90"/>
      <c r="B10" s="4">
        <v>7</v>
      </c>
      <c r="C10" s="11" t="s">
        <v>32</v>
      </c>
      <c r="D10" s="6" t="s">
        <v>27</v>
      </c>
      <c r="E10" s="5">
        <v>4500000</v>
      </c>
      <c r="F10" s="5">
        <v>30</v>
      </c>
      <c r="G10" s="5">
        <f>E10/30*F10</f>
        <v>4500000</v>
      </c>
      <c r="H10" s="5"/>
      <c r="I10" s="5"/>
      <c r="J10" s="5"/>
      <c r="K10" s="5">
        <f t="shared" si="0"/>
        <v>4500000</v>
      </c>
      <c r="L10" s="5">
        <f>+E10*4%</f>
        <v>180000</v>
      </c>
      <c r="M10" s="5">
        <f>+E10*5%</f>
        <v>225000</v>
      </c>
      <c r="N10" s="5"/>
      <c r="O10" s="5"/>
      <c r="P10" s="5">
        <v>2545</v>
      </c>
      <c r="Q10" s="5"/>
      <c r="R10" s="5"/>
      <c r="S10" s="5">
        <f>945750+420786</f>
        <v>1366536</v>
      </c>
      <c r="T10" s="5">
        <f t="shared" si="2"/>
        <v>1774081</v>
      </c>
      <c r="U10" s="7">
        <f>K10-T10</f>
        <v>2725919</v>
      </c>
      <c r="V10" s="7"/>
      <c r="W10" s="44"/>
      <c r="X10" s="7">
        <f t="shared" si="4"/>
        <v>2725919</v>
      </c>
    </row>
    <row r="11" spans="1:24" x14ac:dyDescent="0.25">
      <c r="A11" s="90"/>
      <c r="B11" s="4">
        <v>8</v>
      </c>
      <c r="C11" s="11" t="s">
        <v>33</v>
      </c>
      <c r="D11" s="6" t="s">
        <v>27</v>
      </c>
      <c r="E11" s="5">
        <v>4500000</v>
      </c>
      <c r="F11" s="5">
        <v>30</v>
      </c>
      <c r="G11" s="5">
        <f>E11/30*F11</f>
        <v>4500000</v>
      </c>
      <c r="H11" s="5"/>
      <c r="I11" s="5"/>
      <c r="J11" s="5"/>
      <c r="K11" s="5">
        <f t="shared" ref="K11" si="9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" si="10">SUM(L11:S11)</f>
        <v>415000</v>
      </c>
      <c r="U11" s="7">
        <f>K11-T11</f>
        <v>4085000</v>
      </c>
      <c r="V11" s="7"/>
      <c r="W11" s="44"/>
      <c r="X11" s="7">
        <f t="shared" si="4"/>
        <v>4085000</v>
      </c>
    </row>
    <row r="12" spans="1:24" x14ac:dyDescent="0.25">
      <c r="A12" s="90"/>
      <c r="B12" s="4">
        <v>9</v>
      </c>
      <c r="C12" s="11" t="s">
        <v>36</v>
      </c>
      <c r="D12" s="6" t="s">
        <v>27</v>
      </c>
      <c r="E12" s="5">
        <v>5400000</v>
      </c>
      <c r="F12" s="5">
        <v>30</v>
      </c>
      <c r="G12" s="5">
        <v>5220000</v>
      </c>
      <c r="H12" s="5"/>
      <c r="I12" s="5"/>
      <c r="J12" s="5">
        <v>360000</v>
      </c>
      <c r="K12" s="5">
        <f>SUM(G12:I12)+J12</f>
        <v>5580000</v>
      </c>
      <c r="L12" s="5">
        <f>+K12*4%</f>
        <v>223200</v>
      </c>
      <c r="M12" s="5">
        <f>+K12*5%</f>
        <v>279000</v>
      </c>
      <c r="N12" s="5"/>
      <c r="O12" s="5"/>
      <c r="P12" s="5">
        <v>6500</v>
      </c>
      <c r="Q12" s="5"/>
      <c r="R12" s="5"/>
      <c r="S12" s="5"/>
      <c r="T12" s="5">
        <f t="shared" si="2"/>
        <v>508700</v>
      </c>
      <c r="U12" s="7">
        <f t="shared" ref="U12:U18" si="11">+K12-T12</f>
        <v>5071300</v>
      </c>
      <c r="V12" s="7"/>
      <c r="W12" s="44"/>
      <c r="X12" s="7">
        <f t="shared" si="4"/>
        <v>5071300</v>
      </c>
    </row>
    <row r="13" spans="1:24" x14ac:dyDescent="0.25">
      <c r="A13" s="90"/>
      <c r="B13" s="4">
        <v>10</v>
      </c>
      <c r="C13" s="3" t="s">
        <v>37</v>
      </c>
      <c r="D13" s="4" t="s">
        <v>27</v>
      </c>
      <c r="E13" s="5">
        <v>4500000</v>
      </c>
      <c r="F13" s="5">
        <v>30</v>
      </c>
      <c r="G13" s="5">
        <f t="shared" ref="G13:G18" si="12">+E13/30*F13</f>
        <v>4500000</v>
      </c>
      <c r="H13" s="5"/>
      <c r="I13" s="5"/>
      <c r="J13" s="5"/>
      <c r="K13" s="5">
        <f t="shared" si="0"/>
        <v>4500000</v>
      </c>
      <c r="L13" s="5">
        <v>180000</v>
      </c>
      <c r="M13" s="5">
        <v>225000</v>
      </c>
      <c r="N13" s="5"/>
      <c r="O13" s="5"/>
      <c r="P13" s="5">
        <v>3000</v>
      </c>
      <c r="Q13" s="5"/>
      <c r="R13" s="5"/>
      <c r="S13" s="5"/>
      <c r="T13" s="5">
        <f t="shared" si="2"/>
        <v>408000</v>
      </c>
      <c r="U13" s="7">
        <f t="shared" si="11"/>
        <v>4092000</v>
      </c>
      <c r="V13" s="7"/>
      <c r="W13" s="44"/>
      <c r="X13" s="7">
        <f t="shared" si="4"/>
        <v>4092000</v>
      </c>
    </row>
    <row r="14" spans="1:24" x14ac:dyDescent="0.25">
      <c r="A14" s="90"/>
      <c r="B14" s="4">
        <v>11</v>
      </c>
      <c r="C14" s="3" t="s">
        <v>38</v>
      </c>
      <c r="D14" s="4" t="s">
        <v>27</v>
      </c>
      <c r="E14" s="5">
        <v>4200000</v>
      </c>
      <c r="F14" s="5">
        <v>30</v>
      </c>
      <c r="G14" s="5">
        <v>3080000</v>
      </c>
      <c r="H14" s="5"/>
      <c r="I14" s="5"/>
      <c r="J14" s="5">
        <v>980000</v>
      </c>
      <c r="K14" s="5">
        <f t="shared" ref="K14:K16" si="13">SUM(G14:I14)+J14</f>
        <v>4060000</v>
      </c>
      <c r="L14" s="5">
        <v>162400</v>
      </c>
      <c r="M14" s="5">
        <f>+K14*5%</f>
        <v>203000</v>
      </c>
      <c r="N14" s="5"/>
      <c r="O14" s="5"/>
      <c r="P14" s="5">
        <v>32000</v>
      </c>
      <c r="Q14" s="5"/>
      <c r="R14" s="5">
        <v>459000</v>
      </c>
      <c r="S14" s="5">
        <v>838529</v>
      </c>
      <c r="T14" s="5">
        <f t="shared" ref="T14:T16" si="14">SUM(L14:S14)</f>
        <v>1694929</v>
      </c>
      <c r="U14" s="7">
        <f t="shared" si="11"/>
        <v>2365071</v>
      </c>
      <c r="V14" s="7"/>
      <c r="W14" s="44"/>
      <c r="X14" s="7">
        <f t="shared" si="4"/>
        <v>2365071</v>
      </c>
    </row>
    <row r="15" spans="1:24" x14ac:dyDescent="0.25">
      <c r="A15" s="90"/>
      <c r="B15" s="4">
        <v>12</v>
      </c>
      <c r="C15" s="3" t="s">
        <v>39</v>
      </c>
      <c r="D15" s="4" t="s">
        <v>35</v>
      </c>
      <c r="E15" s="5">
        <v>4000000</v>
      </c>
      <c r="F15" s="5">
        <v>30</v>
      </c>
      <c r="G15" s="5">
        <f t="shared" ref="G15:G16" si="15">+E15/30*F15</f>
        <v>4000000.0000000005</v>
      </c>
      <c r="H15" s="5"/>
      <c r="I15" s="5"/>
      <c r="J15" s="5"/>
      <c r="K15" s="5">
        <f t="shared" si="13"/>
        <v>4000000.0000000005</v>
      </c>
      <c r="L15" s="5">
        <v>160000</v>
      </c>
      <c r="M15" s="5">
        <v>200000</v>
      </c>
      <c r="N15" s="5"/>
      <c r="O15" s="5"/>
      <c r="P15" s="5">
        <v>4500</v>
      </c>
      <c r="Q15" s="5"/>
      <c r="R15" s="5"/>
      <c r="S15" s="5"/>
      <c r="T15" s="5">
        <f t="shared" si="14"/>
        <v>364500</v>
      </c>
      <c r="U15" s="7">
        <f t="shared" si="11"/>
        <v>3635500.0000000005</v>
      </c>
      <c r="V15" s="7"/>
      <c r="W15" s="44"/>
      <c r="X15" s="7">
        <f t="shared" si="4"/>
        <v>3635500.0000000005</v>
      </c>
    </row>
    <row r="16" spans="1:24" x14ac:dyDescent="0.25">
      <c r="A16" s="90"/>
      <c r="B16" s="4">
        <v>13</v>
      </c>
      <c r="C16" s="3" t="s">
        <v>40</v>
      </c>
      <c r="D16" s="4" t="s">
        <v>35</v>
      </c>
      <c r="E16" s="5">
        <v>4500000</v>
      </c>
      <c r="F16" s="5">
        <v>30</v>
      </c>
      <c r="G16" s="5">
        <f t="shared" si="15"/>
        <v>4500000</v>
      </c>
      <c r="H16" s="5"/>
      <c r="I16" s="5"/>
      <c r="J16" s="5"/>
      <c r="K16" s="5">
        <f t="shared" si="13"/>
        <v>4500000</v>
      </c>
      <c r="L16" s="5">
        <f>+G16*4%</f>
        <v>180000</v>
      </c>
      <c r="M16" s="5">
        <f>+G16*5%</f>
        <v>225000</v>
      </c>
      <c r="N16" s="5"/>
      <c r="O16" s="5"/>
      <c r="P16" s="5">
        <v>72000</v>
      </c>
      <c r="Q16" s="5"/>
      <c r="R16" s="5"/>
      <c r="S16" s="5"/>
      <c r="T16" s="5">
        <f t="shared" si="14"/>
        <v>477000</v>
      </c>
      <c r="U16" s="7">
        <f t="shared" si="11"/>
        <v>4023000</v>
      </c>
      <c r="V16" s="7"/>
      <c r="W16" s="44"/>
      <c r="X16" s="7">
        <f t="shared" si="4"/>
        <v>4023000</v>
      </c>
    </row>
    <row r="17" spans="1:24" x14ac:dyDescent="0.25">
      <c r="A17" s="90"/>
      <c r="B17" s="4">
        <v>14</v>
      </c>
      <c r="C17" s="11" t="s">
        <v>41</v>
      </c>
      <c r="D17" s="6" t="s">
        <v>27</v>
      </c>
      <c r="E17" s="5">
        <v>5500000</v>
      </c>
      <c r="F17" s="5">
        <v>30</v>
      </c>
      <c r="G17" s="5">
        <f t="shared" si="12"/>
        <v>5500000</v>
      </c>
      <c r="H17" s="5"/>
      <c r="I17" s="5">
        <v>450000</v>
      </c>
      <c r="J17" s="5"/>
      <c r="K17" s="5">
        <f t="shared" si="0"/>
        <v>5950000</v>
      </c>
      <c r="L17" s="5">
        <f>+G17*4%</f>
        <v>220000</v>
      </c>
      <c r="M17" s="5">
        <f>+G17*5%</f>
        <v>275000</v>
      </c>
      <c r="N17" s="5"/>
      <c r="O17" s="5"/>
      <c r="P17" s="17">
        <v>150521</v>
      </c>
      <c r="Q17" s="5"/>
      <c r="R17" s="5"/>
      <c r="S17" s="5"/>
      <c r="T17" s="5">
        <f t="shared" si="2"/>
        <v>645521</v>
      </c>
      <c r="U17" s="7">
        <f t="shared" si="11"/>
        <v>5304479</v>
      </c>
      <c r="V17" s="7"/>
      <c r="W17" s="44"/>
      <c r="X17" s="7">
        <f t="shared" si="4"/>
        <v>5304479</v>
      </c>
    </row>
    <row r="18" spans="1:24" x14ac:dyDescent="0.25">
      <c r="A18" s="90"/>
      <c r="B18" s="4">
        <v>15</v>
      </c>
      <c r="C18" s="11" t="s">
        <v>143</v>
      </c>
      <c r="D18" s="6" t="s">
        <v>27</v>
      </c>
      <c r="E18" s="5">
        <v>5000000</v>
      </c>
      <c r="F18" s="5">
        <v>30</v>
      </c>
      <c r="G18" s="5">
        <f t="shared" si="12"/>
        <v>5000000</v>
      </c>
      <c r="H18" s="5"/>
      <c r="I18" s="5"/>
      <c r="J18" s="5"/>
      <c r="K18" s="5">
        <f t="shared" ref="K18" si="16">SUM(G18:I18)+J18</f>
        <v>5000000</v>
      </c>
      <c r="L18" s="5">
        <f>+G18*4%</f>
        <v>200000</v>
      </c>
      <c r="M18" s="5">
        <f>+G18*5%</f>
        <v>250000</v>
      </c>
      <c r="N18" s="5"/>
      <c r="O18" s="5"/>
      <c r="P18" s="17">
        <v>102000</v>
      </c>
      <c r="Q18" s="5"/>
      <c r="R18" s="5"/>
      <c r="S18" s="5"/>
      <c r="T18" s="5">
        <f t="shared" ref="T18" si="17">SUM(L18:S18)</f>
        <v>552000</v>
      </c>
      <c r="U18" s="7">
        <f t="shared" si="11"/>
        <v>4448000</v>
      </c>
      <c r="V18" s="7"/>
      <c r="W18" s="44"/>
      <c r="X18" s="7">
        <f t="shared" si="4"/>
        <v>4448000</v>
      </c>
    </row>
    <row r="19" spans="1:24" ht="24" x14ac:dyDescent="0.25">
      <c r="A19" s="90"/>
      <c r="B19" s="4">
        <v>16</v>
      </c>
      <c r="C19" s="11" t="s">
        <v>43</v>
      </c>
      <c r="D19" s="6" t="s">
        <v>27</v>
      </c>
      <c r="E19" s="5">
        <v>5000000</v>
      </c>
      <c r="F19" s="5">
        <v>30</v>
      </c>
      <c r="G19" s="5">
        <f>+E19-J19</f>
        <v>5000000</v>
      </c>
      <c r="H19" s="5"/>
      <c r="I19" s="5">
        <v>990000</v>
      </c>
      <c r="J19" s="5"/>
      <c r="K19" s="5">
        <f t="shared" si="0"/>
        <v>5990000</v>
      </c>
      <c r="L19" s="5">
        <v>200000</v>
      </c>
      <c r="M19" s="5">
        <v>250000</v>
      </c>
      <c r="N19" s="5"/>
      <c r="O19" s="5"/>
      <c r="P19" s="17">
        <v>98752</v>
      </c>
      <c r="Q19" s="5"/>
      <c r="R19" s="5"/>
      <c r="S19" s="5"/>
      <c r="T19" s="5">
        <f t="shared" si="2"/>
        <v>548752</v>
      </c>
      <c r="U19" s="7">
        <f>K19-T19</f>
        <v>5441248</v>
      </c>
      <c r="V19" s="7"/>
      <c r="W19" s="44"/>
      <c r="X19" s="7">
        <f t="shared" si="4"/>
        <v>5441248</v>
      </c>
    </row>
    <row r="20" spans="1:24" x14ac:dyDescent="0.25">
      <c r="A20" s="90"/>
      <c r="B20" s="4">
        <v>17</v>
      </c>
      <c r="C20" s="11" t="s">
        <v>44</v>
      </c>
      <c r="D20" s="6" t="s">
        <v>27</v>
      </c>
      <c r="E20" s="5">
        <v>6600000</v>
      </c>
      <c r="F20" s="5">
        <v>30</v>
      </c>
      <c r="G20" s="5">
        <f t="shared" ref="G20:G28" si="18">E20/30*F20</f>
        <v>6600000</v>
      </c>
      <c r="H20" s="5"/>
      <c r="I20" s="5"/>
      <c r="J20" s="5"/>
      <c r="K20" s="5">
        <f t="shared" si="0"/>
        <v>6600000</v>
      </c>
      <c r="L20" s="5">
        <f>+G20*4%</f>
        <v>264000</v>
      </c>
      <c r="M20" s="5">
        <f>+G20*5%</f>
        <v>330000</v>
      </c>
      <c r="N20" s="5"/>
      <c r="O20" s="5"/>
      <c r="P20" s="17">
        <v>288000</v>
      </c>
      <c r="Q20" s="5"/>
      <c r="R20" s="5"/>
      <c r="S20" s="5"/>
      <c r="T20" s="5">
        <f t="shared" si="2"/>
        <v>882000</v>
      </c>
      <c r="U20" s="7">
        <f>K20-T20</f>
        <v>5718000</v>
      </c>
      <c r="V20" s="7"/>
      <c r="W20" s="44"/>
      <c r="X20" s="7">
        <f t="shared" si="4"/>
        <v>5718000</v>
      </c>
    </row>
    <row r="21" spans="1:24" x14ac:dyDescent="0.25">
      <c r="A21" s="90"/>
      <c r="B21" s="4">
        <v>18</v>
      </c>
      <c r="C21" s="11" t="s">
        <v>45</v>
      </c>
      <c r="D21" s="6" t="s">
        <v>27</v>
      </c>
      <c r="E21" s="5">
        <v>6900000</v>
      </c>
      <c r="F21" s="5">
        <v>30</v>
      </c>
      <c r="G21" s="5">
        <f t="shared" si="18"/>
        <v>6900000</v>
      </c>
      <c r="H21" s="5"/>
      <c r="I21" s="5">
        <v>1400000</v>
      </c>
      <c r="J21" s="5"/>
      <c r="K21" s="5">
        <f t="shared" ref="K21" si="19">SUM(G21:I21)+J21</f>
        <v>8300000</v>
      </c>
      <c r="L21" s="5">
        <f t="shared" ref="L21" si="20">+G21*4%</f>
        <v>276000</v>
      </c>
      <c r="M21" s="5">
        <f t="shared" ref="M21" si="21">+G21*5%</f>
        <v>345000</v>
      </c>
      <c r="N21" s="5"/>
      <c r="O21" s="5"/>
      <c r="P21" s="17">
        <v>113000</v>
      </c>
      <c r="Q21" s="5">
        <v>1300000</v>
      </c>
      <c r="R21" s="5"/>
      <c r="S21" s="5"/>
      <c r="T21" s="5">
        <f t="shared" ref="T21:T22" si="22">SUM(L21:S21)</f>
        <v>2034000</v>
      </c>
      <c r="U21" s="7">
        <f>K21-T21</f>
        <v>6266000</v>
      </c>
      <c r="V21" s="7"/>
      <c r="W21" s="44"/>
      <c r="X21" s="7">
        <f t="shared" si="4"/>
        <v>6266000</v>
      </c>
    </row>
    <row r="22" spans="1:24" x14ac:dyDescent="0.25">
      <c r="A22" s="90"/>
      <c r="B22" s="4">
        <v>19</v>
      </c>
      <c r="C22" s="11" t="s">
        <v>46</v>
      </c>
      <c r="D22" s="6" t="s">
        <v>27</v>
      </c>
      <c r="E22" s="5">
        <v>3500000</v>
      </c>
      <c r="F22" s="5">
        <v>30</v>
      </c>
      <c r="G22" s="5">
        <f t="shared" ref="G22" si="23">+E22/30*F22</f>
        <v>3500000</v>
      </c>
      <c r="H22" s="5"/>
      <c r="I22" s="5"/>
      <c r="J22" s="5"/>
      <c r="K22" s="5">
        <f t="shared" ref="K22" si="24">SUM(G22:I22)+J22</f>
        <v>3500000</v>
      </c>
      <c r="L22" s="5">
        <v>140000</v>
      </c>
      <c r="M22" s="5">
        <v>175000</v>
      </c>
      <c r="N22" s="5"/>
      <c r="O22" s="5"/>
      <c r="P22" s="5"/>
      <c r="Q22" s="5"/>
      <c r="R22" s="5"/>
      <c r="S22" s="5"/>
      <c r="T22" s="5">
        <f t="shared" si="22"/>
        <v>315000</v>
      </c>
      <c r="U22" s="7">
        <f t="shared" ref="U22" si="25">+K22-T22</f>
        <v>3185000</v>
      </c>
      <c r="V22" s="7"/>
      <c r="W22" s="44"/>
      <c r="X22" s="7">
        <f t="shared" si="4"/>
        <v>3185000</v>
      </c>
    </row>
    <row r="23" spans="1:24" x14ac:dyDescent="0.25">
      <c r="A23" s="90"/>
      <c r="B23" s="4">
        <v>20</v>
      </c>
      <c r="C23" s="11" t="s">
        <v>47</v>
      </c>
      <c r="D23" s="6" t="s">
        <v>27</v>
      </c>
      <c r="E23" s="5">
        <v>5000000</v>
      </c>
      <c r="F23" s="5">
        <v>30</v>
      </c>
      <c r="G23" s="5">
        <f t="shared" si="18"/>
        <v>5000000</v>
      </c>
      <c r="H23" s="5"/>
      <c r="I23" s="5">
        <v>1621317</v>
      </c>
      <c r="J23" s="5"/>
      <c r="K23" s="5">
        <f t="shared" si="0"/>
        <v>6621317</v>
      </c>
      <c r="L23" s="5">
        <f>+G23*4%</f>
        <v>200000</v>
      </c>
      <c r="M23" s="5">
        <f t="shared" si="8"/>
        <v>250000</v>
      </c>
      <c r="N23" s="5"/>
      <c r="O23" s="5"/>
      <c r="P23" s="17">
        <v>50000</v>
      </c>
      <c r="Q23" s="5">
        <v>3000000</v>
      </c>
      <c r="R23" s="5"/>
      <c r="S23" s="5">
        <f>884747</f>
        <v>884747</v>
      </c>
      <c r="T23" s="5">
        <f t="shared" si="2"/>
        <v>4384747</v>
      </c>
      <c r="U23" s="7">
        <f>+K23-T23</f>
        <v>2236570</v>
      </c>
      <c r="V23" s="7"/>
      <c r="W23" s="44"/>
      <c r="X23" s="7">
        <f t="shared" si="4"/>
        <v>2236570</v>
      </c>
    </row>
    <row r="24" spans="1:24" x14ac:dyDescent="0.25">
      <c r="A24" s="90"/>
      <c r="B24" s="4">
        <v>21</v>
      </c>
      <c r="C24" s="11" t="s">
        <v>48</v>
      </c>
      <c r="D24" s="6" t="s">
        <v>27</v>
      </c>
      <c r="E24" s="5">
        <v>4500000</v>
      </c>
      <c r="F24" s="5">
        <v>30</v>
      </c>
      <c r="G24" s="5">
        <f>+E24-J24</f>
        <v>4500000</v>
      </c>
      <c r="H24" s="5"/>
      <c r="I24" s="5"/>
      <c r="J24" s="5"/>
      <c r="K24" s="5">
        <f t="shared" si="0"/>
        <v>4500000</v>
      </c>
      <c r="L24" s="5">
        <v>180000</v>
      </c>
      <c r="M24" s="5">
        <v>225000</v>
      </c>
      <c r="N24" s="5"/>
      <c r="O24" s="5"/>
      <c r="P24" s="17">
        <v>31000</v>
      </c>
      <c r="Q24" s="5"/>
      <c r="R24" s="5"/>
      <c r="S24" s="5"/>
      <c r="T24" s="5">
        <f t="shared" si="2"/>
        <v>436000</v>
      </c>
      <c r="U24" s="7">
        <f>+K24-T24</f>
        <v>4064000</v>
      </c>
      <c r="V24" s="7"/>
      <c r="W24" s="44"/>
      <c r="X24" s="7">
        <f t="shared" si="4"/>
        <v>4064000</v>
      </c>
    </row>
    <row r="25" spans="1:24" x14ac:dyDescent="0.25">
      <c r="A25" s="90"/>
      <c r="B25" s="4">
        <v>22</v>
      </c>
      <c r="C25" s="11" t="s">
        <v>49</v>
      </c>
      <c r="D25" s="6" t="s">
        <v>27</v>
      </c>
      <c r="E25" s="5">
        <v>5000000</v>
      </c>
      <c r="F25" s="5">
        <v>30</v>
      </c>
      <c r="G25" s="5">
        <f>+E25-J25</f>
        <v>5000000</v>
      </c>
      <c r="H25" s="5"/>
      <c r="I25" s="5"/>
      <c r="J25" s="5">
        <v>0</v>
      </c>
      <c r="K25" s="5">
        <f t="shared" si="0"/>
        <v>5000000</v>
      </c>
      <c r="L25" s="5">
        <f>+E25*4%</f>
        <v>200000</v>
      </c>
      <c r="M25" s="5">
        <f>+E25*5%</f>
        <v>250000</v>
      </c>
      <c r="N25" s="5"/>
      <c r="O25" s="5"/>
      <c r="P25" s="17">
        <v>140000</v>
      </c>
      <c r="Q25" s="5"/>
      <c r="R25" s="5"/>
      <c r="S25" s="5"/>
      <c r="T25" s="5">
        <f t="shared" si="2"/>
        <v>590000</v>
      </c>
      <c r="U25" s="7">
        <f>+K25-T25</f>
        <v>4410000</v>
      </c>
      <c r="V25" s="7"/>
      <c r="W25" s="44"/>
      <c r="X25" s="7">
        <f t="shared" si="4"/>
        <v>4410000</v>
      </c>
    </row>
    <row r="26" spans="1:24" x14ac:dyDescent="0.25">
      <c r="A26" s="90"/>
      <c r="B26" s="4">
        <v>23</v>
      </c>
      <c r="C26" s="11" t="s">
        <v>50</v>
      </c>
      <c r="D26" s="6" t="s">
        <v>27</v>
      </c>
      <c r="E26" s="5">
        <v>4500000</v>
      </c>
      <c r="F26" s="5">
        <v>30</v>
      </c>
      <c r="G26" s="5">
        <f t="shared" ref="G26" si="26">E26/30*F26</f>
        <v>4500000</v>
      </c>
      <c r="H26" s="5" t="s">
        <v>154</v>
      </c>
      <c r="I26" s="5"/>
      <c r="J26" s="5"/>
      <c r="K26" s="5">
        <f t="shared" ref="K26" si="27">SUM(G26:I26)+J26</f>
        <v>4500000</v>
      </c>
      <c r="L26" s="5">
        <f>+G26*4%</f>
        <v>180000</v>
      </c>
      <c r="M26" s="5">
        <f>+G26*5%</f>
        <v>225000</v>
      </c>
      <c r="N26" s="5"/>
      <c r="O26" s="5">
        <v>89600</v>
      </c>
      <c r="P26" s="17">
        <v>72000</v>
      </c>
      <c r="Q26" s="5"/>
      <c r="R26" s="5"/>
      <c r="S26" s="5"/>
      <c r="T26" s="5">
        <f t="shared" ref="T26" si="28">SUM(L26:S26)</f>
        <v>566600</v>
      </c>
      <c r="U26" s="7">
        <f>+K26-T26</f>
        <v>3933400</v>
      </c>
      <c r="V26" s="7"/>
      <c r="W26" s="44"/>
      <c r="X26" s="7">
        <f t="shared" si="4"/>
        <v>3933400</v>
      </c>
    </row>
    <row r="27" spans="1:24" x14ac:dyDescent="0.25">
      <c r="A27" s="90"/>
      <c r="B27" s="4">
        <v>24</v>
      </c>
      <c r="C27" s="11" t="s">
        <v>51</v>
      </c>
      <c r="D27" s="6" t="s">
        <v>27</v>
      </c>
      <c r="E27" s="5">
        <v>6000000</v>
      </c>
      <c r="F27" s="5">
        <v>30</v>
      </c>
      <c r="G27" s="5">
        <f t="shared" si="18"/>
        <v>6000000</v>
      </c>
      <c r="H27" s="5"/>
      <c r="I27" s="5">
        <v>281250</v>
      </c>
      <c r="J27" s="5">
        <v>4800000</v>
      </c>
      <c r="K27" s="5">
        <f t="shared" si="0"/>
        <v>11081250</v>
      </c>
      <c r="L27" s="5">
        <f>+E27*4%</f>
        <v>240000</v>
      </c>
      <c r="M27" s="5">
        <f>E27*5%</f>
        <v>300000</v>
      </c>
      <c r="N27" s="5"/>
      <c r="O27" s="5"/>
      <c r="P27" s="17">
        <v>79000</v>
      </c>
      <c r="Q27" s="5"/>
      <c r="R27" s="5"/>
      <c r="S27" s="5"/>
      <c r="T27" s="5">
        <f t="shared" si="2"/>
        <v>619000</v>
      </c>
      <c r="U27" s="7">
        <f>K27-T27</f>
        <v>10462250</v>
      </c>
      <c r="V27" s="7"/>
      <c r="W27" s="44"/>
      <c r="X27" s="7">
        <f t="shared" si="4"/>
        <v>10462250</v>
      </c>
    </row>
    <row r="28" spans="1:24" x14ac:dyDescent="0.25">
      <c r="A28" s="90"/>
      <c r="B28" s="4">
        <v>25</v>
      </c>
      <c r="C28" s="11" t="s">
        <v>53</v>
      </c>
      <c r="D28" s="6" t="s">
        <v>27</v>
      </c>
      <c r="E28" s="5">
        <v>3500000</v>
      </c>
      <c r="F28" s="5">
        <v>30</v>
      </c>
      <c r="G28" s="5">
        <f t="shared" si="18"/>
        <v>3500000</v>
      </c>
      <c r="H28" s="5"/>
      <c r="I28" s="5"/>
      <c r="J28" s="5"/>
      <c r="K28" s="5">
        <f>SUM(G28:I28)+J28</f>
        <v>3500000</v>
      </c>
      <c r="L28" s="5">
        <v>140000</v>
      </c>
      <c r="M28" s="5">
        <v>175000</v>
      </c>
      <c r="N28" s="5"/>
      <c r="O28" s="5">
        <v>42900</v>
      </c>
      <c r="P28" s="17">
        <v>0</v>
      </c>
      <c r="Q28" s="5"/>
      <c r="R28" s="5"/>
      <c r="S28" s="5"/>
      <c r="T28" s="5">
        <f t="shared" ref="T28" si="29">SUM(L28:S28)</f>
        <v>357900</v>
      </c>
      <c r="U28" s="7">
        <f>K28-T28</f>
        <v>3142100</v>
      </c>
      <c r="V28" s="7"/>
      <c r="W28" s="44"/>
      <c r="X28" s="7">
        <f t="shared" si="4"/>
        <v>3142100</v>
      </c>
    </row>
    <row r="29" spans="1:24" x14ac:dyDescent="0.25">
      <c r="A29" s="90"/>
      <c r="B29" s="4">
        <v>26</v>
      </c>
      <c r="C29" s="11" t="s">
        <v>54</v>
      </c>
      <c r="D29" s="6" t="s">
        <v>27</v>
      </c>
      <c r="E29" s="5">
        <v>4800000</v>
      </c>
      <c r="F29" s="5">
        <v>30</v>
      </c>
      <c r="G29" s="5">
        <f t="shared" ref="G29:G59" si="30">+E29/30*F29</f>
        <v>4800000</v>
      </c>
      <c r="H29" s="5"/>
      <c r="I29" s="5"/>
      <c r="J29" s="5"/>
      <c r="K29" s="5">
        <f t="shared" si="0"/>
        <v>4800000</v>
      </c>
      <c r="L29" s="5">
        <f>+G29*4%</f>
        <v>192000</v>
      </c>
      <c r="M29" s="5">
        <f>+G29*5%</f>
        <v>240000</v>
      </c>
      <c r="N29" s="5"/>
      <c r="O29" s="5"/>
      <c r="P29" s="5">
        <v>0</v>
      </c>
      <c r="Q29" s="5">
        <v>1300000</v>
      </c>
      <c r="R29" s="5"/>
      <c r="S29" s="5">
        <v>209579</v>
      </c>
      <c r="T29" s="5">
        <f t="shared" si="2"/>
        <v>1941579</v>
      </c>
      <c r="U29" s="7">
        <f>K29-T29</f>
        <v>2858421</v>
      </c>
      <c r="V29" s="7"/>
      <c r="W29" s="44"/>
      <c r="X29" s="7">
        <f t="shared" si="4"/>
        <v>2858421</v>
      </c>
    </row>
    <row r="30" spans="1:24" x14ac:dyDescent="0.25">
      <c r="A30" s="90"/>
      <c r="B30" s="4">
        <v>27</v>
      </c>
      <c r="C30" s="11" t="s">
        <v>55</v>
      </c>
      <c r="D30" s="6" t="s">
        <v>27</v>
      </c>
      <c r="E30" s="5">
        <v>4280000</v>
      </c>
      <c r="F30" s="5">
        <v>30</v>
      </c>
      <c r="G30" s="5">
        <f>E30/30*F30</f>
        <v>4280000</v>
      </c>
      <c r="H30" s="5"/>
      <c r="I30" s="5"/>
      <c r="J30" s="5" t="s">
        <v>1</v>
      </c>
      <c r="K30" s="5">
        <f>+G30+H30+I30</f>
        <v>4280000</v>
      </c>
      <c r="L30" s="5">
        <f>+G30*4%</f>
        <v>171200</v>
      </c>
      <c r="M30" s="5">
        <f>+G30*5%</f>
        <v>214000</v>
      </c>
      <c r="N30" s="5"/>
      <c r="O30" s="5"/>
      <c r="P30" s="17">
        <v>31064</v>
      </c>
      <c r="Q30" s="5"/>
      <c r="R30" s="5"/>
      <c r="S30" s="5"/>
      <c r="T30" s="5">
        <f t="shared" si="2"/>
        <v>416264</v>
      </c>
      <c r="U30" s="7">
        <f>K30-T30</f>
        <v>3863736</v>
      </c>
      <c r="V30" s="7"/>
      <c r="W30" s="44"/>
      <c r="X30" s="7">
        <f t="shared" si="4"/>
        <v>3863736</v>
      </c>
    </row>
    <row r="31" spans="1:24" x14ac:dyDescent="0.25">
      <c r="A31" s="90"/>
      <c r="B31" s="4">
        <v>28</v>
      </c>
      <c r="C31" s="11" t="s">
        <v>56</v>
      </c>
      <c r="D31" s="6" t="s">
        <v>27</v>
      </c>
      <c r="E31" s="5">
        <v>6000000</v>
      </c>
      <c r="F31" s="5">
        <v>30</v>
      </c>
      <c r="G31" s="5">
        <f t="shared" si="30"/>
        <v>6000000</v>
      </c>
      <c r="H31" s="5"/>
      <c r="I31" s="5"/>
      <c r="J31" s="5"/>
      <c r="K31" s="5">
        <f t="shared" si="0"/>
        <v>6000000</v>
      </c>
      <c r="L31" s="5">
        <f>+K31*4%</f>
        <v>240000</v>
      </c>
      <c r="M31" s="5">
        <f>+K31*5%</f>
        <v>300000</v>
      </c>
      <c r="N31" s="5"/>
      <c r="O31" s="5"/>
      <c r="P31" s="5">
        <v>208000</v>
      </c>
      <c r="Q31" s="5"/>
      <c r="R31" s="5">
        <v>122614</v>
      </c>
      <c r="S31" s="5"/>
      <c r="T31" s="5">
        <f t="shared" si="2"/>
        <v>870614</v>
      </c>
      <c r="U31" s="7">
        <f t="shared" ref="U31:U32" si="31">+K31-T31</f>
        <v>5129386</v>
      </c>
      <c r="V31" s="7"/>
      <c r="W31" s="44"/>
      <c r="X31" s="7">
        <f t="shared" si="4"/>
        <v>5129386</v>
      </c>
    </row>
    <row r="32" spans="1:24" x14ac:dyDescent="0.25">
      <c r="A32" s="90"/>
      <c r="B32" s="4">
        <v>29</v>
      </c>
      <c r="C32" s="11" t="s">
        <v>57</v>
      </c>
      <c r="D32" s="6" t="s">
        <v>27</v>
      </c>
      <c r="E32" s="5">
        <v>4500000</v>
      </c>
      <c r="F32" s="5">
        <v>30</v>
      </c>
      <c r="G32" s="5">
        <f t="shared" si="30"/>
        <v>4500000</v>
      </c>
      <c r="H32" s="5"/>
      <c r="I32" s="5">
        <v>500000</v>
      </c>
      <c r="J32" s="5">
        <v>1582031</v>
      </c>
      <c r="K32" s="5">
        <f t="shared" si="0"/>
        <v>6582031</v>
      </c>
      <c r="L32" s="5">
        <f t="shared" si="1"/>
        <v>180000</v>
      </c>
      <c r="M32" s="5">
        <f t="shared" si="8"/>
        <v>225000</v>
      </c>
      <c r="N32" s="5"/>
      <c r="O32" s="5"/>
      <c r="P32" s="5">
        <v>11000</v>
      </c>
      <c r="Q32" s="5"/>
      <c r="R32" s="5">
        <v>595000</v>
      </c>
      <c r="S32" s="5">
        <v>551399</v>
      </c>
      <c r="T32" s="5">
        <f t="shared" si="2"/>
        <v>1562399</v>
      </c>
      <c r="U32" s="7">
        <f t="shared" si="31"/>
        <v>5019632</v>
      </c>
      <c r="V32" s="7"/>
      <c r="W32" s="44"/>
      <c r="X32" s="7">
        <f t="shared" si="4"/>
        <v>5019632</v>
      </c>
    </row>
    <row r="33" spans="1:26" x14ac:dyDescent="0.25">
      <c r="A33" s="90"/>
      <c r="B33" s="4">
        <v>30</v>
      </c>
      <c r="C33" s="3" t="s">
        <v>58</v>
      </c>
      <c r="D33" s="4" t="s">
        <v>27</v>
      </c>
      <c r="E33" s="5">
        <v>4815000</v>
      </c>
      <c r="F33" s="5">
        <v>30</v>
      </c>
      <c r="G33" s="5">
        <f>+E33-J33</f>
        <v>4815000</v>
      </c>
      <c r="H33" s="5"/>
      <c r="I33" s="5"/>
      <c r="J33" s="5"/>
      <c r="K33" s="5">
        <f t="shared" si="0"/>
        <v>4815000</v>
      </c>
      <c r="L33" s="5">
        <f>+E33*4%</f>
        <v>192600</v>
      </c>
      <c r="M33" s="5">
        <f>+E33*5%</f>
        <v>240750</v>
      </c>
      <c r="N33" s="5"/>
      <c r="O33" s="5"/>
      <c r="P33" s="5">
        <v>34627</v>
      </c>
      <c r="Q33" s="5"/>
      <c r="R33" s="5"/>
      <c r="S33" s="5">
        <v>541379</v>
      </c>
      <c r="T33" s="5">
        <f t="shared" si="2"/>
        <v>1009356</v>
      </c>
      <c r="U33" s="7">
        <f>K33-T33</f>
        <v>3805644</v>
      </c>
      <c r="V33" s="7"/>
      <c r="W33" s="44"/>
      <c r="X33" s="7">
        <f t="shared" si="4"/>
        <v>3805644</v>
      </c>
    </row>
    <row r="34" spans="1:26" ht="24" x14ac:dyDescent="0.25">
      <c r="A34" s="90"/>
      <c r="B34" s="4">
        <v>31</v>
      </c>
      <c r="C34" s="11" t="s">
        <v>59</v>
      </c>
      <c r="D34" s="6" t="s">
        <v>27</v>
      </c>
      <c r="E34" s="5">
        <v>6420000</v>
      </c>
      <c r="F34" s="5">
        <v>30</v>
      </c>
      <c r="G34" s="5">
        <f>+E34-J34</f>
        <v>6420000</v>
      </c>
      <c r="H34" s="5"/>
      <c r="I34" s="5"/>
      <c r="J34" s="5">
        <v>0</v>
      </c>
      <c r="K34" s="5">
        <f t="shared" ref="K34:K78" si="32">SUM(G34:I34)+J34</f>
        <v>6420000</v>
      </c>
      <c r="L34" s="5">
        <f>+E34*4%</f>
        <v>256800</v>
      </c>
      <c r="M34" s="5">
        <f>+E34*5%</f>
        <v>321000</v>
      </c>
      <c r="N34" s="5"/>
      <c r="O34" s="5"/>
      <c r="P34" s="5">
        <v>231000</v>
      </c>
      <c r="Q34" s="5"/>
      <c r="R34" s="5"/>
      <c r="S34" s="5"/>
      <c r="T34" s="5">
        <f t="shared" si="2"/>
        <v>808800</v>
      </c>
      <c r="U34" s="7">
        <f>+K34-T34</f>
        <v>5611200</v>
      </c>
      <c r="V34" s="7"/>
      <c r="W34" s="44"/>
      <c r="X34" s="7">
        <f t="shared" si="4"/>
        <v>5611200</v>
      </c>
    </row>
    <row r="35" spans="1:26" x14ac:dyDescent="0.25">
      <c r="A35" s="90"/>
      <c r="B35" s="4">
        <v>32</v>
      </c>
      <c r="C35" s="3" t="s">
        <v>60</v>
      </c>
      <c r="D35" s="4" t="s">
        <v>27</v>
      </c>
      <c r="E35" s="5">
        <v>6900000</v>
      </c>
      <c r="F35" s="5">
        <v>30</v>
      </c>
      <c r="G35" s="5">
        <f t="shared" si="30"/>
        <v>6900000</v>
      </c>
      <c r="H35" s="5"/>
      <c r="I35" s="5">
        <v>1500000</v>
      </c>
      <c r="J35" s="5">
        <v>1101471</v>
      </c>
      <c r="K35" s="5">
        <f t="shared" si="32"/>
        <v>9501471</v>
      </c>
      <c r="L35" s="5">
        <v>276000</v>
      </c>
      <c r="M35" s="5">
        <v>345000</v>
      </c>
      <c r="N35" s="5"/>
      <c r="O35" s="5"/>
      <c r="P35" s="5">
        <v>345000</v>
      </c>
      <c r="Q35" s="5"/>
      <c r="R35" s="5"/>
      <c r="S35" s="5"/>
      <c r="T35" s="5">
        <f t="shared" si="2"/>
        <v>966000</v>
      </c>
      <c r="U35" s="7">
        <f>K35-T35</f>
        <v>8535471</v>
      </c>
      <c r="V35" s="7"/>
      <c r="W35" s="44"/>
      <c r="X35" s="7">
        <f t="shared" si="4"/>
        <v>8535471</v>
      </c>
    </row>
    <row r="36" spans="1:26" x14ac:dyDescent="0.25">
      <c r="A36" s="90"/>
      <c r="B36" s="4">
        <v>33</v>
      </c>
      <c r="C36" s="3" t="s">
        <v>62</v>
      </c>
      <c r="D36" s="4" t="s">
        <v>27</v>
      </c>
      <c r="E36" s="5">
        <v>5500000</v>
      </c>
      <c r="F36" s="5">
        <v>30</v>
      </c>
      <c r="G36" s="5">
        <f t="shared" si="30"/>
        <v>5500000</v>
      </c>
      <c r="H36" s="5"/>
      <c r="I36" s="5">
        <v>500000</v>
      </c>
      <c r="J36" s="5"/>
      <c r="K36" s="5">
        <f t="shared" ref="K36" si="33">SUM(G36:I36)+J36</f>
        <v>6000000</v>
      </c>
      <c r="L36" s="5">
        <f>+G36*4%</f>
        <v>220000</v>
      </c>
      <c r="M36" s="5">
        <f>+G36*5%</f>
        <v>275000</v>
      </c>
      <c r="N36" s="5"/>
      <c r="O36" s="5"/>
      <c r="P36" s="5">
        <v>144000</v>
      </c>
      <c r="Q36" s="5"/>
      <c r="R36" s="5"/>
      <c r="S36" s="5"/>
      <c r="T36" s="5">
        <f t="shared" ref="T36" si="34">SUM(L36:S36)</f>
        <v>639000</v>
      </c>
      <c r="U36" s="7">
        <f t="shared" ref="U36" si="35">K36-T36</f>
        <v>5361000</v>
      </c>
      <c r="V36" s="7"/>
      <c r="W36" s="44"/>
      <c r="X36" s="7">
        <f t="shared" si="4"/>
        <v>5361000</v>
      </c>
    </row>
    <row r="37" spans="1:26" x14ac:dyDescent="0.25">
      <c r="A37" s="90"/>
      <c r="B37" s="4">
        <v>34</v>
      </c>
      <c r="C37" s="11" t="s">
        <v>63</v>
      </c>
      <c r="D37" s="6" t="s">
        <v>27</v>
      </c>
      <c r="E37" s="5">
        <v>5350000</v>
      </c>
      <c r="F37" s="5">
        <v>30</v>
      </c>
      <c r="G37" s="5">
        <f t="shared" si="30"/>
        <v>5350000</v>
      </c>
      <c r="H37" s="5"/>
      <c r="I37" s="5"/>
      <c r="J37" s="5"/>
      <c r="K37" s="5">
        <f t="shared" si="32"/>
        <v>5350000</v>
      </c>
      <c r="L37" s="5">
        <f>+G37*4%</f>
        <v>214000</v>
      </c>
      <c r="M37" s="5">
        <f>+G37*5%</f>
        <v>267500</v>
      </c>
      <c r="N37" s="5"/>
      <c r="O37" s="5"/>
      <c r="P37" s="5">
        <v>121000</v>
      </c>
      <c r="Q37" s="5"/>
      <c r="R37" s="5"/>
      <c r="S37" s="5"/>
      <c r="T37" s="5">
        <f>SUM(L37:S37)</f>
        <v>602500</v>
      </c>
      <c r="U37" s="7">
        <f t="shared" ref="U37:U43" si="36">+K37-T37</f>
        <v>4747500</v>
      </c>
      <c r="V37" s="7"/>
      <c r="W37" s="44"/>
      <c r="X37" s="7">
        <f t="shared" si="4"/>
        <v>4747500</v>
      </c>
    </row>
    <row r="38" spans="1:26" x14ac:dyDescent="0.25">
      <c r="A38" s="90"/>
      <c r="B38" s="4">
        <v>35</v>
      </c>
      <c r="C38" s="11" t="s">
        <v>149</v>
      </c>
      <c r="D38" s="6"/>
      <c r="E38" s="5">
        <v>4000000</v>
      </c>
      <c r="F38" s="5">
        <v>30</v>
      </c>
      <c r="G38" s="5">
        <f t="shared" si="30"/>
        <v>4000000.0000000005</v>
      </c>
      <c r="H38" s="5"/>
      <c r="I38" s="5"/>
      <c r="J38" s="5"/>
      <c r="K38" s="5">
        <f t="shared" ref="K38" si="37">SUM(G38:I38)+J38</f>
        <v>4000000.0000000005</v>
      </c>
      <c r="L38" s="5">
        <f>+G38*4%</f>
        <v>160000.00000000003</v>
      </c>
      <c r="M38" s="5">
        <f>+G38*5%</f>
        <v>200000.00000000003</v>
      </c>
      <c r="N38" s="5"/>
      <c r="O38" s="5"/>
      <c r="P38" s="5">
        <v>0</v>
      </c>
      <c r="Q38" s="5"/>
      <c r="R38" s="5"/>
      <c r="S38" s="5"/>
      <c r="T38" s="5">
        <f>SUM(L38:S38)</f>
        <v>360000.00000000006</v>
      </c>
      <c r="U38" s="7">
        <f t="shared" si="36"/>
        <v>3640000.0000000005</v>
      </c>
      <c r="V38" s="7"/>
      <c r="W38" s="44"/>
      <c r="X38" s="7">
        <f t="shared" si="4"/>
        <v>3640000.0000000005</v>
      </c>
    </row>
    <row r="39" spans="1:26" x14ac:dyDescent="0.25">
      <c r="A39" s="90"/>
      <c r="B39" s="4">
        <v>36</v>
      </c>
      <c r="C39" s="11" t="s">
        <v>64</v>
      </c>
      <c r="D39" s="6" t="s">
        <v>27</v>
      </c>
      <c r="E39" s="5">
        <v>4500000</v>
      </c>
      <c r="F39" s="5">
        <v>30</v>
      </c>
      <c r="G39" s="5">
        <f t="shared" si="30"/>
        <v>4500000</v>
      </c>
      <c r="H39" s="5"/>
      <c r="I39" s="5"/>
      <c r="J39" s="5">
        <f>+E39-G39</f>
        <v>0</v>
      </c>
      <c r="K39" s="5">
        <f t="shared" si="32"/>
        <v>4500000</v>
      </c>
      <c r="L39" s="5">
        <f>+E39*4%</f>
        <v>180000</v>
      </c>
      <c r="M39" s="5">
        <f>+E39*5%</f>
        <v>225000</v>
      </c>
      <c r="N39" s="5"/>
      <c r="O39" s="5">
        <v>40600</v>
      </c>
      <c r="P39" s="5">
        <v>10000</v>
      </c>
      <c r="Q39" s="5"/>
      <c r="R39" s="5"/>
      <c r="S39" s="5"/>
      <c r="T39" s="5">
        <f>SUM(L39:S39)</f>
        <v>455600</v>
      </c>
      <c r="U39" s="7">
        <f t="shared" si="36"/>
        <v>4044400</v>
      </c>
      <c r="V39" s="7"/>
      <c r="W39" s="44"/>
      <c r="X39" s="7">
        <f t="shared" si="4"/>
        <v>4044400</v>
      </c>
    </row>
    <row r="40" spans="1:26" ht="26.25" customHeight="1" x14ac:dyDescent="0.25">
      <c r="A40" s="90"/>
      <c r="B40" s="4">
        <v>37</v>
      </c>
      <c r="C40" s="11" t="s">
        <v>66</v>
      </c>
      <c r="D40" s="6" t="s">
        <v>27</v>
      </c>
      <c r="E40" s="5">
        <v>4250000</v>
      </c>
      <c r="F40" s="5">
        <v>30</v>
      </c>
      <c r="G40" s="5">
        <f t="shared" si="30"/>
        <v>4250000</v>
      </c>
      <c r="H40" s="5"/>
      <c r="I40" s="5"/>
      <c r="J40" s="5"/>
      <c r="K40" s="5">
        <f t="shared" ref="K40" si="38">SUM(G40:I40)+J40</f>
        <v>4250000</v>
      </c>
      <c r="L40" s="5">
        <f>+G40*4%</f>
        <v>170000</v>
      </c>
      <c r="M40" s="5">
        <f>+G40*5%</f>
        <v>212500</v>
      </c>
      <c r="N40" s="5"/>
      <c r="O40" s="5">
        <v>87600</v>
      </c>
      <c r="P40" s="5">
        <v>38000</v>
      </c>
      <c r="Q40" s="5"/>
      <c r="R40" s="5"/>
      <c r="S40" s="5"/>
      <c r="T40" s="5">
        <f t="shared" ref="T40" si="39">SUM(L40:S40)</f>
        <v>508100</v>
      </c>
      <c r="U40" s="7">
        <f t="shared" si="36"/>
        <v>3741900</v>
      </c>
      <c r="V40" s="7"/>
      <c r="W40" s="44"/>
      <c r="X40" s="7">
        <f t="shared" si="4"/>
        <v>3741900</v>
      </c>
    </row>
    <row r="41" spans="1:26" ht="26.25" customHeight="1" x14ac:dyDescent="0.25">
      <c r="A41" s="90"/>
      <c r="B41" s="4">
        <v>38</v>
      </c>
      <c r="C41" s="11" t="s">
        <v>67</v>
      </c>
      <c r="D41" s="6"/>
      <c r="E41" s="5">
        <v>4000000</v>
      </c>
      <c r="F41" s="5">
        <v>30</v>
      </c>
      <c r="G41" s="5">
        <f t="shared" si="30"/>
        <v>4000000.0000000005</v>
      </c>
      <c r="H41" s="5"/>
      <c r="I41" s="5"/>
      <c r="J41" s="5"/>
      <c r="K41" s="5">
        <f t="shared" ref="K41" si="40">SUM(G41:I41)+J41</f>
        <v>4000000.0000000005</v>
      </c>
      <c r="L41" s="5">
        <f>+G41*4%</f>
        <v>160000.00000000003</v>
      </c>
      <c r="M41" s="5">
        <f>+G41*5%</f>
        <v>200000.00000000003</v>
      </c>
      <c r="N41" s="5"/>
      <c r="O41" s="5"/>
      <c r="P41" s="5">
        <v>4500</v>
      </c>
      <c r="Q41" s="5"/>
      <c r="R41" s="5"/>
      <c r="S41" s="5"/>
      <c r="T41" s="5">
        <f t="shared" ref="T41" si="41">SUM(L41:S41)</f>
        <v>364500.00000000006</v>
      </c>
      <c r="U41" s="7">
        <f t="shared" si="36"/>
        <v>3635500.0000000005</v>
      </c>
      <c r="V41" s="7"/>
      <c r="W41" s="44"/>
      <c r="X41" s="7">
        <f t="shared" si="4"/>
        <v>3635500.0000000005</v>
      </c>
    </row>
    <row r="42" spans="1:26" ht="24" x14ac:dyDescent="0.25">
      <c r="A42" s="90"/>
      <c r="B42" s="4">
        <v>39</v>
      </c>
      <c r="C42" s="11" t="s">
        <v>68</v>
      </c>
      <c r="D42" s="6" t="s">
        <v>27</v>
      </c>
      <c r="E42" s="5">
        <v>3000000</v>
      </c>
      <c r="F42" s="5">
        <v>30</v>
      </c>
      <c r="G42" s="5">
        <f t="shared" si="30"/>
        <v>3000000</v>
      </c>
      <c r="H42" s="5"/>
      <c r="I42" s="5" t="s">
        <v>1</v>
      </c>
      <c r="J42" s="5"/>
      <c r="K42" s="5">
        <f t="shared" si="32"/>
        <v>3000000</v>
      </c>
      <c r="L42" s="5">
        <f>+K42*4%</f>
        <v>120000</v>
      </c>
      <c r="M42" s="5">
        <f>+K42*5%</f>
        <v>150000</v>
      </c>
      <c r="N42" s="5"/>
      <c r="O42" s="5">
        <v>15800</v>
      </c>
      <c r="P42" s="5"/>
      <c r="Q42" s="5"/>
      <c r="R42" s="5"/>
      <c r="S42" s="5"/>
      <c r="T42" s="5">
        <f t="shared" si="2"/>
        <v>285800</v>
      </c>
      <c r="U42" s="7">
        <f t="shared" si="36"/>
        <v>2714200</v>
      </c>
      <c r="V42" s="7"/>
      <c r="W42" s="44"/>
      <c r="X42" s="7">
        <f t="shared" si="4"/>
        <v>2714200</v>
      </c>
    </row>
    <row r="43" spans="1:26" x14ac:dyDescent="0.25">
      <c r="A43" s="90"/>
      <c r="B43" s="4">
        <v>40</v>
      </c>
      <c r="C43" s="11" t="s">
        <v>69</v>
      </c>
      <c r="D43" s="6" t="s">
        <v>27</v>
      </c>
      <c r="E43" s="5">
        <v>5000000</v>
      </c>
      <c r="F43" s="5">
        <v>30</v>
      </c>
      <c r="G43" s="5">
        <f t="shared" si="30"/>
        <v>5000000</v>
      </c>
      <c r="H43" s="5"/>
      <c r="I43" s="5">
        <v>800000</v>
      </c>
      <c r="J43" s="5"/>
      <c r="K43" s="5">
        <f t="shared" si="32"/>
        <v>5800000</v>
      </c>
      <c r="L43" s="5">
        <f>+G43*4%</f>
        <v>200000</v>
      </c>
      <c r="M43" s="5">
        <f>+G43*5%</f>
        <v>250000</v>
      </c>
      <c r="N43" s="5"/>
      <c r="O43" s="5"/>
      <c r="P43" s="5">
        <v>50000</v>
      </c>
      <c r="Q43" s="5"/>
      <c r="R43" s="5"/>
      <c r="S43" s="5"/>
      <c r="T43" s="5">
        <f t="shared" si="2"/>
        <v>500000</v>
      </c>
      <c r="U43" s="7">
        <f t="shared" si="36"/>
        <v>5300000</v>
      </c>
      <c r="V43" s="7"/>
      <c r="W43" s="44"/>
      <c r="X43" s="7">
        <f t="shared" si="4"/>
        <v>5300000</v>
      </c>
      <c r="Y43" s="7">
        <v>4886979</v>
      </c>
      <c r="Z43" s="55">
        <f>+X43-Y43</f>
        <v>413021</v>
      </c>
    </row>
    <row r="44" spans="1:26" ht="30.75" customHeight="1" x14ac:dyDescent="0.25">
      <c r="A44" s="90"/>
      <c r="B44" s="4">
        <v>41</v>
      </c>
      <c r="C44" s="11" t="s">
        <v>70</v>
      </c>
      <c r="D44" s="6" t="s">
        <v>27</v>
      </c>
      <c r="E44" s="5">
        <v>5152050</v>
      </c>
      <c r="F44" s="5">
        <v>30</v>
      </c>
      <c r="G44" s="5">
        <f>+E44-J44</f>
        <v>5152050</v>
      </c>
      <c r="H44" s="5"/>
      <c r="I44" s="5">
        <v>350000</v>
      </c>
      <c r="J44" s="5"/>
      <c r="K44" s="5">
        <f t="shared" si="32"/>
        <v>5502050</v>
      </c>
      <c r="L44" s="5">
        <f>+G44*4%</f>
        <v>206082</v>
      </c>
      <c r="M44" s="5">
        <f>+G44*5%</f>
        <v>257602.5</v>
      </c>
      <c r="N44" s="5"/>
      <c r="O44" s="5"/>
      <c r="P44" s="5">
        <v>93000</v>
      </c>
      <c r="Q44" s="5"/>
      <c r="R44" s="5"/>
      <c r="S44" s="5"/>
      <c r="T44" s="5">
        <f t="shared" si="2"/>
        <v>556684.5</v>
      </c>
      <c r="U44" s="7">
        <f>K44-T44</f>
        <v>4945365.5</v>
      </c>
      <c r="V44" s="7"/>
      <c r="W44" s="44"/>
      <c r="X44" s="7">
        <f t="shared" si="4"/>
        <v>4945365.5</v>
      </c>
    </row>
    <row r="45" spans="1:26" x14ac:dyDescent="0.25">
      <c r="A45" s="90"/>
      <c r="B45" s="4">
        <v>42</v>
      </c>
      <c r="C45" s="11" t="s">
        <v>71</v>
      </c>
      <c r="D45" s="6" t="s">
        <v>27</v>
      </c>
      <c r="E45" s="5">
        <v>9590321</v>
      </c>
      <c r="F45" s="5">
        <v>30</v>
      </c>
      <c r="G45" s="5">
        <f t="shared" si="30"/>
        <v>9590321</v>
      </c>
      <c r="H45" s="5"/>
      <c r="I45" s="5"/>
      <c r="J45" s="5">
        <v>4045882</v>
      </c>
      <c r="K45" s="5">
        <f t="shared" si="32"/>
        <v>13636203</v>
      </c>
      <c r="L45" s="5">
        <v>268529</v>
      </c>
      <c r="M45" s="5">
        <v>335661</v>
      </c>
      <c r="N45" s="5"/>
      <c r="O45" s="5"/>
      <c r="P45" s="5">
        <v>205000</v>
      </c>
      <c r="Q45" s="5">
        <v>2500000</v>
      </c>
      <c r="R45" s="5"/>
      <c r="S45" s="5"/>
      <c r="T45" s="5">
        <f t="shared" si="2"/>
        <v>3309190</v>
      </c>
      <c r="U45" s="7">
        <f>K45-T45</f>
        <v>10327013</v>
      </c>
      <c r="V45" s="7"/>
      <c r="W45" s="44"/>
      <c r="X45" s="7">
        <f t="shared" si="4"/>
        <v>10327013</v>
      </c>
    </row>
    <row r="46" spans="1:26" x14ac:dyDescent="0.25">
      <c r="A46" s="91"/>
      <c r="B46" s="4">
        <v>43</v>
      </c>
      <c r="C46" s="11" t="s">
        <v>72</v>
      </c>
      <c r="D46" s="6" t="s">
        <v>27</v>
      </c>
      <c r="E46" s="5">
        <v>4500000</v>
      </c>
      <c r="F46" s="5">
        <v>30</v>
      </c>
      <c r="G46" s="5">
        <f>+E46-J46</f>
        <v>4500000</v>
      </c>
      <c r="H46" s="5"/>
      <c r="I46" s="5"/>
      <c r="J46" s="5"/>
      <c r="K46" s="5">
        <f t="shared" si="32"/>
        <v>4500000</v>
      </c>
      <c r="L46" s="5">
        <v>180000</v>
      </c>
      <c r="M46" s="5">
        <v>225000</v>
      </c>
      <c r="N46" s="5"/>
      <c r="O46" s="5"/>
      <c r="P46" s="5">
        <v>31000</v>
      </c>
      <c r="Q46" s="5"/>
      <c r="R46" s="5"/>
      <c r="S46" s="5"/>
      <c r="T46" s="5">
        <f t="shared" si="2"/>
        <v>436000</v>
      </c>
      <c r="U46" s="7">
        <f>K46-T46</f>
        <v>4064000</v>
      </c>
      <c r="V46" s="7"/>
      <c r="W46" s="44"/>
      <c r="X46" s="7">
        <f t="shared" si="4"/>
        <v>4064000</v>
      </c>
    </row>
    <row r="47" spans="1:26" x14ac:dyDescent="0.25">
      <c r="A47" s="89" t="s">
        <v>144</v>
      </c>
      <c r="B47" s="4">
        <v>1</v>
      </c>
      <c r="C47" s="11" t="s">
        <v>145</v>
      </c>
      <c r="D47" s="6"/>
      <c r="E47" s="5">
        <v>368858</v>
      </c>
      <c r="F47" s="5">
        <v>30</v>
      </c>
      <c r="G47" s="5">
        <f t="shared" si="30"/>
        <v>368858</v>
      </c>
      <c r="H47" s="5"/>
      <c r="I47" s="5"/>
      <c r="J47" s="5"/>
      <c r="K47" s="5">
        <f t="shared" si="32"/>
        <v>368858</v>
      </c>
      <c r="L47" s="5"/>
      <c r="M47" s="5"/>
      <c r="N47" s="5"/>
      <c r="O47" s="5"/>
      <c r="P47" s="5"/>
      <c r="Q47" s="5"/>
      <c r="R47" s="5"/>
      <c r="S47" s="5"/>
      <c r="T47" s="5"/>
      <c r="U47" s="7">
        <f>K47-T47</f>
        <v>368858</v>
      </c>
      <c r="V47" s="7"/>
      <c r="W47" s="44"/>
      <c r="X47" s="7">
        <f t="shared" si="4"/>
        <v>368858</v>
      </c>
    </row>
    <row r="48" spans="1:26" x14ac:dyDescent="0.25">
      <c r="A48" s="90"/>
      <c r="B48" s="4">
        <v>2</v>
      </c>
      <c r="C48" s="11" t="s">
        <v>73</v>
      </c>
      <c r="D48" s="6" t="s">
        <v>27</v>
      </c>
      <c r="E48" s="5">
        <v>3000000</v>
      </c>
      <c r="F48" s="5">
        <v>30</v>
      </c>
      <c r="G48" s="5">
        <f t="shared" si="30"/>
        <v>3000000</v>
      </c>
      <c r="H48" s="5"/>
      <c r="I48" s="5"/>
      <c r="J48" s="5"/>
      <c r="K48" s="5">
        <f t="shared" si="32"/>
        <v>3000000</v>
      </c>
      <c r="L48" s="5">
        <v>120000</v>
      </c>
      <c r="M48" s="5">
        <v>150000</v>
      </c>
      <c r="N48" s="5"/>
      <c r="O48" s="5">
        <v>29000</v>
      </c>
      <c r="P48" s="5"/>
      <c r="Q48" s="5"/>
      <c r="R48" s="5"/>
      <c r="S48" s="5"/>
      <c r="T48" s="5">
        <f t="shared" si="2"/>
        <v>299000</v>
      </c>
      <c r="U48" s="7">
        <f>K48-T48</f>
        <v>2701000</v>
      </c>
      <c r="V48" s="7"/>
      <c r="W48" s="44"/>
      <c r="X48" s="7">
        <f t="shared" si="4"/>
        <v>2701000</v>
      </c>
    </row>
    <row r="49" spans="1:24" ht="24" customHeight="1" x14ac:dyDescent="0.25">
      <c r="A49" s="90"/>
      <c r="B49" s="4">
        <v>3</v>
      </c>
      <c r="C49" s="11" t="s">
        <v>74</v>
      </c>
      <c r="D49" s="6" t="s">
        <v>27</v>
      </c>
      <c r="E49" s="5">
        <v>4000000</v>
      </c>
      <c r="F49" s="5">
        <v>30</v>
      </c>
      <c r="G49" s="5">
        <f>+E49-J49</f>
        <v>4000000</v>
      </c>
      <c r="H49" s="5"/>
      <c r="I49" s="5"/>
      <c r="J49" s="5">
        <v>0</v>
      </c>
      <c r="K49" s="5">
        <f t="shared" si="32"/>
        <v>4000000</v>
      </c>
      <c r="L49" s="5">
        <f>+E49*4%</f>
        <v>160000</v>
      </c>
      <c r="M49" s="5">
        <f>+E49*5%</f>
        <v>200000</v>
      </c>
      <c r="N49" s="5"/>
      <c r="O49" s="5"/>
      <c r="P49" s="17">
        <v>3000</v>
      </c>
      <c r="Q49" s="5"/>
      <c r="R49" s="5">
        <v>163485</v>
      </c>
      <c r="S49" s="5"/>
      <c r="T49" s="5">
        <f t="shared" si="2"/>
        <v>526485</v>
      </c>
      <c r="U49" s="7">
        <f>+K49-T49</f>
        <v>3473515</v>
      </c>
      <c r="V49" s="7"/>
      <c r="W49" s="44"/>
      <c r="X49" s="7">
        <f t="shared" si="4"/>
        <v>3473515</v>
      </c>
    </row>
    <row r="50" spans="1:24" ht="25.5" customHeight="1" x14ac:dyDescent="0.25">
      <c r="A50" s="90"/>
      <c r="B50" s="4">
        <v>4</v>
      </c>
      <c r="C50" s="11" t="s">
        <v>75</v>
      </c>
      <c r="D50" s="6" t="s">
        <v>27</v>
      </c>
      <c r="E50" s="5">
        <v>800000</v>
      </c>
      <c r="F50" s="5">
        <v>30</v>
      </c>
      <c r="G50" s="5">
        <f t="shared" si="30"/>
        <v>800000</v>
      </c>
      <c r="H50" s="5">
        <v>83140</v>
      </c>
      <c r="I50" s="5"/>
      <c r="J50" s="5"/>
      <c r="K50" s="5">
        <f t="shared" si="32"/>
        <v>883140</v>
      </c>
      <c r="L50" s="5">
        <f>+G50*4%</f>
        <v>32000</v>
      </c>
      <c r="M50" s="5">
        <f>+G50*4%</f>
        <v>32000</v>
      </c>
      <c r="N50" s="5"/>
      <c r="O50" s="5"/>
      <c r="P50" s="17"/>
      <c r="Q50" s="5"/>
      <c r="R50" s="5"/>
      <c r="S50" s="5"/>
      <c r="T50" s="5">
        <f t="shared" ref="T50" si="42">SUM(L50:S50)</f>
        <v>64000</v>
      </c>
      <c r="U50" s="7">
        <f>+K50-T50</f>
        <v>819140</v>
      </c>
      <c r="V50" s="7"/>
      <c r="W50" s="44"/>
      <c r="X50" s="7">
        <f t="shared" si="4"/>
        <v>819140</v>
      </c>
    </row>
    <row r="51" spans="1:24" x14ac:dyDescent="0.25">
      <c r="A51" s="90"/>
      <c r="B51" s="4">
        <v>5</v>
      </c>
      <c r="C51" s="3" t="s">
        <v>76</v>
      </c>
      <c r="D51" s="4" t="s">
        <v>27</v>
      </c>
      <c r="E51" s="5">
        <v>1600000</v>
      </c>
      <c r="F51" s="5">
        <v>30</v>
      </c>
      <c r="G51" s="5">
        <f t="shared" si="30"/>
        <v>1600000</v>
      </c>
      <c r="H51" s="5"/>
      <c r="I51" s="5"/>
      <c r="J51" s="5"/>
      <c r="K51" s="5">
        <f t="shared" ref="K51" si="43">SUM(G51:I51)+J51</f>
        <v>1600000</v>
      </c>
      <c r="L51" s="5">
        <f>+G51*4%</f>
        <v>64000</v>
      </c>
      <c r="M51" s="5">
        <f>+G51*4%</f>
        <v>64000</v>
      </c>
      <c r="N51" s="5"/>
      <c r="O51" s="5"/>
      <c r="P51" s="5"/>
      <c r="Q51" s="5"/>
      <c r="R51" s="5"/>
      <c r="S51" s="5"/>
      <c r="T51" s="5">
        <f t="shared" si="2"/>
        <v>128000</v>
      </c>
      <c r="U51" s="7">
        <f>K51-T51</f>
        <v>1472000</v>
      </c>
      <c r="V51" s="7"/>
      <c r="W51" s="44"/>
      <c r="X51" s="7">
        <f t="shared" si="4"/>
        <v>1472000</v>
      </c>
    </row>
    <row r="52" spans="1:24" ht="18" customHeight="1" x14ac:dyDescent="0.25">
      <c r="A52" s="90"/>
      <c r="B52" s="4">
        <v>6</v>
      </c>
      <c r="C52" s="11" t="s">
        <v>77</v>
      </c>
      <c r="D52" s="6" t="s">
        <v>27</v>
      </c>
      <c r="E52" s="5">
        <v>737717</v>
      </c>
      <c r="F52" s="5">
        <v>30</v>
      </c>
      <c r="G52" s="5">
        <f t="shared" si="30"/>
        <v>737717</v>
      </c>
      <c r="H52" s="5">
        <f t="shared" ref="H52:H54" si="44">+(83140/30)*F52</f>
        <v>83140</v>
      </c>
      <c r="I52" s="5"/>
      <c r="J52" s="5"/>
      <c r="K52" s="5">
        <f>SUM(G52:I52)+J52</f>
        <v>820857</v>
      </c>
      <c r="L52" s="5">
        <v>29509</v>
      </c>
      <c r="M52" s="5">
        <v>29509</v>
      </c>
      <c r="N52" s="5"/>
      <c r="O52" s="5"/>
      <c r="P52" s="17"/>
      <c r="Q52" s="5"/>
      <c r="R52" s="5"/>
      <c r="S52" s="5"/>
      <c r="T52" s="5">
        <f>+L52+M52</f>
        <v>59018</v>
      </c>
      <c r="U52" s="7">
        <f>+K52-T52</f>
        <v>761839</v>
      </c>
      <c r="V52" s="7"/>
      <c r="W52" s="44"/>
      <c r="X52" s="7">
        <f t="shared" si="4"/>
        <v>761839</v>
      </c>
    </row>
    <row r="53" spans="1:24" x14ac:dyDescent="0.25">
      <c r="A53" s="90"/>
      <c r="B53" s="4">
        <v>7</v>
      </c>
      <c r="C53" s="3" t="s">
        <v>78</v>
      </c>
      <c r="D53" s="4" t="s">
        <v>27</v>
      </c>
      <c r="E53" s="5">
        <v>1200000</v>
      </c>
      <c r="F53" s="5">
        <v>30</v>
      </c>
      <c r="G53" s="5">
        <f t="shared" si="30"/>
        <v>1200000</v>
      </c>
      <c r="H53" s="5">
        <f t="shared" si="44"/>
        <v>83140</v>
      </c>
      <c r="I53" s="5"/>
      <c r="J53" s="5"/>
      <c r="K53" s="5">
        <f t="shared" ref="K53" si="45">SUM(G53:I53)+J53</f>
        <v>1283140</v>
      </c>
      <c r="L53" s="5">
        <f>+G53*4%</f>
        <v>48000</v>
      </c>
      <c r="M53" s="5">
        <v>48000</v>
      </c>
      <c r="N53" s="5"/>
      <c r="O53" s="5"/>
      <c r="P53" s="5"/>
      <c r="Q53" s="5"/>
      <c r="R53" s="5"/>
      <c r="S53" s="5"/>
      <c r="T53" s="5">
        <f t="shared" ref="T53:T108" si="46">SUM(L53:S53)</f>
        <v>96000</v>
      </c>
      <c r="U53" s="7">
        <f>K53-T53</f>
        <v>1187140</v>
      </c>
      <c r="V53" s="7"/>
      <c r="W53" s="44"/>
      <c r="X53" s="7">
        <f t="shared" si="4"/>
        <v>1187140</v>
      </c>
    </row>
    <row r="54" spans="1:24" x14ac:dyDescent="0.25">
      <c r="A54" s="90"/>
      <c r="B54" s="4">
        <v>8</v>
      </c>
      <c r="C54" s="11" t="s">
        <v>80</v>
      </c>
      <c r="D54" s="6" t="s">
        <v>27</v>
      </c>
      <c r="E54" s="5">
        <v>737717</v>
      </c>
      <c r="F54" s="5">
        <v>30</v>
      </c>
      <c r="G54" s="5">
        <f t="shared" si="30"/>
        <v>737717</v>
      </c>
      <c r="H54" s="5">
        <f t="shared" si="44"/>
        <v>83140</v>
      </c>
      <c r="I54" s="5"/>
      <c r="J54" s="5"/>
      <c r="K54" s="5">
        <f t="shared" ref="K54:K55" si="47">SUM(G54:I54)+J54</f>
        <v>820857</v>
      </c>
      <c r="L54" s="5">
        <v>29509</v>
      </c>
      <c r="M54" s="5">
        <v>29509</v>
      </c>
      <c r="N54" s="5"/>
      <c r="O54" s="5">
        <v>48000</v>
      </c>
      <c r="P54" s="17"/>
      <c r="Q54" s="5"/>
      <c r="R54" s="5"/>
      <c r="S54" s="5"/>
      <c r="T54" s="5">
        <f t="shared" ref="T54:T55" si="48">SUM(L54:S54)</f>
        <v>107018</v>
      </c>
      <c r="U54" s="7">
        <f t="shared" ref="U54:U62" si="49">+K54-T54</f>
        <v>713839</v>
      </c>
      <c r="V54" s="7"/>
      <c r="W54" s="44"/>
      <c r="X54" s="7">
        <f t="shared" si="4"/>
        <v>713839</v>
      </c>
    </row>
    <row r="55" spans="1:24" ht="24" x14ac:dyDescent="0.25">
      <c r="A55" s="90"/>
      <c r="B55" s="4">
        <v>9</v>
      </c>
      <c r="C55" s="11" t="s">
        <v>81</v>
      </c>
      <c r="D55" s="6" t="s">
        <v>27</v>
      </c>
      <c r="E55" s="5">
        <v>1100000</v>
      </c>
      <c r="F55" s="5">
        <v>30</v>
      </c>
      <c r="G55" s="5">
        <f t="shared" si="30"/>
        <v>1100000</v>
      </c>
      <c r="H55" s="5">
        <v>83140</v>
      </c>
      <c r="I55" s="5"/>
      <c r="J55" s="5"/>
      <c r="K55" s="5">
        <f t="shared" si="47"/>
        <v>1183140</v>
      </c>
      <c r="L55" s="5">
        <f t="shared" ref="L55" si="50">+G55*4%</f>
        <v>44000</v>
      </c>
      <c r="M55" s="5">
        <f t="shared" ref="M55" si="51">+G55*4%</f>
        <v>44000</v>
      </c>
      <c r="N55" s="5"/>
      <c r="O55" s="5"/>
      <c r="P55" s="17"/>
      <c r="Q55" s="5"/>
      <c r="R55" s="5"/>
      <c r="S55" s="5"/>
      <c r="T55" s="5">
        <f t="shared" si="48"/>
        <v>88000</v>
      </c>
      <c r="U55" s="7">
        <f t="shared" si="49"/>
        <v>1095140</v>
      </c>
      <c r="V55" s="7"/>
      <c r="W55" s="44"/>
      <c r="X55" s="7">
        <f t="shared" si="4"/>
        <v>1095140</v>
      </c>
    </row>
    <row r="56" spans="1:24" ht="21.75" customHeight="1" x14ac:dyDescent="0.25">
      <c r="A56" s="90"/>
      <c r="B56" s="4">
        <v>10</v>
      </c>
      <c r="C56" s="11" t="s">
        <v>82</v>
      </c>
      <c r="D56" s="6" t="s">
        <v>27</v>
      </c>
      <c r="E56" s="5">
        <v>1450000</v>
      </c>
      <c r="F56" s="5">
        <v>30</v>
      </c>
      <c r="G56" s="5">
        <f t="shared" si="30"/>
        <v>1450000</v>
      </c>
      <c r="H56" s="5">
        <f>+(83140/30)*F56</f>
        <v>83140</v>
      </c>
      <c r="I56" s="5"/>
      <c r="J56" s="5"/>
      <c r="K56" s="5">
        <f t="shared" si="32"/>
        <v>1533140</v>
      </c>
      <c r="L56" s="5">
        <f>+G56*4%</f>
        <v>58000</v>
      </c>
      <c r="M56" s="5">
        <f>+G56*4%</f>
        <v>58000</v>
      </c>
      <c r="N56" s="5"/>
      <c r="O56" s="5"/>
      <c r="P56" s="5">
        <v>0</v>
      </c>
      <c r="Q56" s="5"/>
      <c r="R56" s="5"/>
      <c r="S56" s="5"/>
      <c r="T56" s="5">
        <f t="shared" si="46"/>
        <v>116000</v>
      </c>
      <c r="U56" s="7">
        <f t="shared" si="49"/>
        <v>1417140</v>
      </c>
      <c r="V56" s="7"/>
      <c r="W56" s="44"/>
      <c r="X56" s="7">
        <f t="shared" si="4"/>
        <v>1417140</v>
      </c>
    </row>
    <row r="57" spans="1:24" x14ac:dyDescent="0.25">
      <c r="A57" s="90"/>
      <c r="B57" s="4">
        <v>11</v>
      </c>
      <c r="C57" s="11" t="s">
        <v>83</v>
      </c>
      <c r="D57" s="6" t="s">
        <v>27</v>
      </c>
      <c r="E57" s="5">
        <v>737717</v>
      </c>
      <c r="F57" s="5">
        <v>30</v>
      </c>
      <c r="G57" s="5">
        <f t="shared" si="30"/>
        <v>737717</v>
      </c>
      <c r="H57" s="5">
        <v>83140</v>
      </c>
      <c r="I57" s="5"/>
      <c r="J57" s="5"/>
      <c r="K57" s="5">
        <f t="shared" ref="K57" si="52">SUM(G57:I57)+J57</f>
        <v>820857</v>
      </c>
      <c r="L57" s="5">
        <v>29509</v>
      </c>
      <c r="M57" s="5">
        <v>29509</v>
      </c>
      <c r="N57" s="5"/>
      <c r="O57" s="5"/>
      <c r="P57" s="17"/>
      <c r="Q57" s="5"/>
      <c r="R57" s="5"/>
      <c r="S57" s="5"/>
      <c r="T57" s="5">
        <f t="shared" si="46"/>
        <v>59018</v>
      </c>
      <c r="U57" s="7">
        <f t="shared" si="49"/>
        <v>761839</v>
      </c>
      <c r="V57" s="7"/>
      <c r="W57" s="44"/>
      <c r="X57" s="7">
        <f t="shared" si="4"/>
        <v>761839</v>
      </c>
    </row>
    <row r="58" spans="1:24" ht="17.25" customHeight="1" x14ac:dyDescent="0.25">
      <c r="A58" s="90"/>
      <c r="B58" s="4">
        <v>12</v>
      </c>
      <c r="C58" s="11" t="s">
        <v>84</v>
      </c>
      <c r="D58" s="6" t="s">
        <v>27</v>
      </c>
      <c r="E58" s="5">
        <v>3500000</v>
      </c>
      <c r="F58" s="5">
        <v>30</v>
      </c>
      <c r="G58" s="5">
        <f>+E58-J58</f>
        <v>3500000</v>
      </c>
      <c r="H58" s="5"/>
      <c r="I58" s="5"/>
      <c r="J58" s="5">
        <v>0</v>
      </c>
      <c r="K58" s="5">
        <f t="shared" ref="K58" si="53">SUM(G58:I58)+J58</f>
        <v>3500000</v>
      </c>
      <c r="L58" s="5">
        <f>+E58*4%</f>
        <v>140000</v>
      </c>
      <c r="M58" s="5">
        <f>+E58*5%</f>
        <v>175000</v>
      </c>
      <c r="N58" s="5"/>
      <c r="O58" s="5"/>
      <c r="P58" s="5">
        <v>0</v>
      </c>
      <c r="Q58" s="5"/>
      <c r="R58" s="5"/>
      <c r="S58" s="5"/>
      <c r="T58" s="5">
        <f t="shared" ref="T58" si="54">SUM(L58:S58)</f>
        <v>315000</v>
      </c>
      <c r="U58" s="7">
        <f t="shared" si="49"/>
        <v>3185000</v>
      </c>
      <c r="V58" s="7"/>
      <c r="W58" s="44"/>
      <c r="X58" s="7">
        <f t="shared" si="4"/>
        <v>3185000</v>
      </c>
    </row>
    <row r="59" spans="1:24" ht="17.25" customHeight="1" x14ac:dyDescent="0.25">
      <c r="A59" s="90"/>
      <c r="B59" s="4">
        <v>13</v>
      </c>
      <c r="C59" s="11" t="s">
        <v>85</v>
      </c>
      <c r="D59" s="6" t="s">
        <v>27</v>
      </c>
      <c r="E59" s="5">
        <v>2500000</v>
      </c>
      <c r="F59" s="5">
        <v>29</v>
      </c>
      <c r="G59" s="5">
        <f t="shared" si="30"/>
        <v>2416666.6666666665</v>
      </c>
      <c r="H59" s="5"/>
      <c r="I59" s="5"/>
      <c r="J59" s="5">
        <v>833333</v>
      </c>
      <c r="K59" s="5">
        <f t="shared" si="32"/>
        <v>3249999.6666666665</v>
      </c>
      <c r="L59" s="5">
        <f>+K59*4%</f>
        <v>129999.98666666666</v>
      </c>
      <c r="M59" s="5">
        <f>+K59*4%</f>
        <v>129999.98666666666</v>
      </c>
      <c r="N59" s="5"/>
      <c r="O59" s="5"/>
      <c r="P59" s="5">
        <v>0</v>
      </c>
      <c r="Q59" s="5"/>
      <c r="R59" s="5"/>
      <c r="S59" s="5">
        <v>200210</v>
      </c>
      <c r="T59" s="5">
        <f t="shared" si="46"/>
        <v>460209.97333333333</v>
      </c>
      <c r="U59" s="7">
        <f t="shared" si="49"/>
        <v>2789789.6933333334</v>
      </c>
      <c r="V59" s="7"/>
      <c r="W59" s="44"/>
      <c r="X59" s="7">
        <f t="shared" si="4"/>
        <v>2789789.6933333334</v>
      </c>
    </row>
    <row r="60" spans="1:24" ht="17.25" customHeight="1" x14ac:dyDescent="0.25">
      <c r="A60" s="90"/>
      <c r="B60" s="4">
        <v>14</v>
      </c>
      <c r="C60" s="11" t="s">
        <v>86</v>
      </c>
      <c r="D60" s="6" t="s">
        <v>27</v>
      </c>
      <c r="E60" s="5">
        <v>1200000</v>
      </c>
      <c r="F60" s="5">
        <v>30</v>
      </c>
      <c r="G60" s="5">
        <f>E60/30*F60</f>
        <v>1200000</v>
      </c>
      <c r="H60" s="5">
        <f>+(83140/30)*F60</f>
        <v>83140</v>
      </c>
      <c r="I60" s="5"/>
      <c r="J60" s="5">
        <f>+E60-G60</f>
        <v>0</v>
      </c>
      <c r="K60" s="5">
        <f t="shared" ref="K60" si="55">SUM(G60:I60)+J60</f>
        <v>1283140</v>
      </c>
      <c r="L60" s="5">
        <v>48000</v>
      </c>
      <c r="M60" s="5">
        <v>48000</v>
      </c>
      <c r="N60" s="5"/>
      <c r="O60" s="5"/>
      <c r="P60" s="5">
        <v>0</v>
      </c>
      <c r="Q60" s="5"/>
      <c r="R60" s="5"/>
      <c r="S60" s="5"/>
      <c r="T60" s="5">
        <f t="shared" ref="T60:T61" si="56">SUM(L60:S60)</f>
        <v>96000</v>
      </c>
      <c r="U60" s="7">
        <f t="shared" si="49"/>
        <v>1187140</v>
      </c>
      <c r="V60" s="7"/>
      <c r="W60" s="44"/>
      <c r="X60" s="7">
        <f t="shared" si="4"/>
        <v>1187140</v>
      </c>
    </row>
    <row r="61" spans="1:24" ht="17.25" customHeight="1" x14ac:dyDescent="0.25">
      <c r="A61" s="90"/>
      <c r="B61" s="4">
        <v>15</v>
      </c>
      <c r="C61" s="11" t="s">
        <v>87</v>
      </c>
      <c r="D61" s="6" t="s">
        <v>27</v>
      </c>
      <c r="E61" s="5">
        <v>900000</v>
      </c>
      <c r="F61" s="5">
        <v>30</v>
      </c>
      <c r="G61" s="5">
        <f>E61/30*F61</f>
        <v>900000</v>
      </c>
      <c r="H61" s="5">
        <f>+(83140/30)*F61</f>
        <v>83140</v>
      </c>
      <c r="I61" s="5"/>
      <c r="J61" s="5"/>
      <c r="K61" s="5">
        <f t="shared" ref="K61" si="57">SUM(G61:I61)+J61</f>
        <v>983140</v>
      </c>
      <c r="L61" s="5">
        <f>+G61*4%</f>
        <v>36000</v>
      </c>
      <c r="M61" s="5">
        <f t="shared" ref="M61" si="58">+G61*4%</f>
        <v>36000</v>
      </c>
      <c r="N61" s="5"/>
      <c r="O61" s="5"/>
      <c r="P61" s="5">
        <v>0</v>
      </c>
      <c r="Q61" s="5"/>
      <c r="R61" s="5"/>
      <c r="S61" s="5"/>
      <c r="T61" s="5">
        <f t="shared" si="56"/>
        <v>72000</v>
      </c>
      <c r="U61" s="7">
        <f t="shared" si="49"/>
        <v>911140</v>
      </c>
      <c r="V61" s="7"/>
      <c r="W61" s="44"/>
      <c r="X61" s="7">
        <f t="shared" si="4"/>
        <v>911140</v>
      </c>
    </row>
    <row r="62" spans="1:24" ht="24" x14ac:dyDescent="0.25">
      <c r="A62" s="90"/>
      <c r="B62" s="4">
        <v>16</v>
      </c>
      <c r="C62" s="11" t="s">
        <v>88</v>
      </c>
      <c r="D62" s="6" t="s">
        <v>27</v>
      </c>
      <c r="E62" s="5">
        <v>2000000</v>
      </c>
      <c r="F62" s="5">
        <v>30</v>
      </c>
      <c r="G62" s="5">
        <f>E62/30*F62</f>
        <v>2000000.0000000002</v>
      </c>
      <c r="H62" s="5"/>
      <c r="I62" s="5"/>
      <c r="J62" s="5">
        <f>+E62-G62</f>
        <v>0</v>
      </c>
      <c r="K62" s="5">
        <f t="shared" si="32"/>
        <v>2000000.0000000002</v>
      </c>
      <c r="L62" s="5">
        <f>+G62*4%</f>
        <v>80000.000000000015</v>
      </c>
      <c r="M62" s="5">
        <v>80000</v>
      </c>
      <c r="N62" s="5"/>
      <c r="O62" s="5"/>
      <c r="P62" s="5">
        <v>0</v>
      </c>
      <c r="Q62" s="5"/>
      <c r="R62" s="5"/>
      <c r="S62" s="5">
        <v>323803</v>
      </c>
      <c r="T62" s="5">
        <f t="shared" si="46"/>
        <v>483803</v>
      </c>
      <c r="U62" s="7">
        <f t="shared" si="49"/>
        <v>1516197.0000000002</v>
      </c>
      <c r="V62" s="7"/>
      <c r="W62" s="44"/>
      <c r="X62" s="7">
        <f t="shared" si="4"/>
        <v>1516197.0000000002</v>
      </c>
    </row>
    <row r="63" spans="1:24" x14ac:dyDescent="0.25">
      <c r="A63" s="90"/>
      <c r="B63" s="4">
        <v>17</v>
      </c>
      <c r="C63" s="3" t="s">
        <v>89</v>
      </c>
      <c r="D63" s="4" t="s">
        <v>27</v>
      </c>
      <c r="E63" s="5">
        <v>3500000</v>
      </c>
      <c r="F63" s="5">
        <v>29</v>
      </c>
      <c r="G63" s="5">
        <f>+E63/30*F63</f>
        <v>3383333.3333333335</v>
      </c>
      <c r="H63" s="5"/>
      <c r="I63" s="5"/>
      <c r="J63" s="5">
        <v>233333</v>
      </c>
      <c r="K63" s="5">
        <f t="shared" si="32"/>
        <v>3616666.3333333335</v>
      </c>
      <c r="L63" s="5">
        <f>+K63*4%</f>
        <v>144666.65333333335</v>
      </c>
      <c r="M63" s="5">
        <f>+K63*5%</f>
        <v>180833.31666666668</v>
      </c>
      <c r="N63" s="5"/>
      <c r="O63" s="5"/>
      <c r="P63" s="5">
        <v>0</v>
      </c>
      <c r="Q63" s="5"/>
      <c r="R63" s="5"/>
      <c r="S63" s="5"/>
      <c r="T63" s="5">
        <f t="shared" si="46"/>
        <v>325499.97000000003</v>
      </c>
      <c r="U63" s="7">
        <f t="shared" ref="U63:U74" si="59">K63-T63</f>
        <v>3291166.3633333333</v>
      </c>
      <c r="V63" s="7"/>
      <c r="W63" s="44"/>
      <c r="X63" s="7">
        <f t="shared" si="4"/>
        <v>3291166.3633333333</v>
      </c>
    </row>
    <row r="64" spans="1:24" x14ac:dyDescent="0.25">
      <c r="A64" s="90"/>
      <c r="B64" s="4">
        <v>18</v>
      </c>
      <c r="C64" s="11" t="s">
        <v>90</v>
      </c>
      <c r="D64" s="6" t="s">
        <v>27</v>
      </c>
      <c r="E64" s="5">
        <v>4000000</v>
      </c>
      <c r="F64" s="5">
        <v>30</v>
      </c>
      <c r="G64" s="5">
        <f>+E64/30*F64</f>
        <v>4000000.0000000005</v>
      </c>
      <c r="H64" s="5"/>
      <c r="I64" s="5">
        <v>300000</v>
      </c>
      <c r="J64" s="5">
        <v>351562</v>
      </c>
      <c r="K64" s="5">
        <f t="shared" si="32"/>
        <v>4651562</v>
      </c>
      <c r="L64" s="5">
        <v>160000</v>
      </c>
      <c r="M64" s="5">
        <v>200000</v>
      </c>
      <c r="N64" s="5"/>
      <c r="O64" s="5"/>
      <c r="P64" s="5">
        <v>3000</v>
      </c>
      <c r="Q64" s="5"/>
      <c r="R64" s="5"/>
      <c r="S64" s="5">
        <v>766228</v>
      </c>
      <c r="T64" s="5">
        <f t="shared" si="46"/>
        <v>1129228</v>
      </c>
      <c r="U64" s="7">
        <f t="shared" si="59"/>
        <v>3522334</v>
      </c>
      <c r="V64" s="7"/>
      <c r="W64" s="44"/>
      <c r="X64" s="7">
        <f t="shared" si="4"/>
        <v>3522334</v>
      </c>
    </row>
    <row r="65" spans="1:27" x14ac:dyDescent="0.25">
      <c r="A65" s="90"/>
      <c r="B65" s="4">
        <v>19</v>
      </c>
      <c r="C65" s="11" t="s">
        <v>91</v>
      </c>
      <c r="D65" s="6" t="s">
        <v>27</v>
      </c>
      <c r="E65" s="5">
        <v>800000</v>
      </c>
      <c r="F65" s="5">
        <v>30</v>
      </c>
      <c r="G65" s="5">
        <f>+E65/30*F65</f>
        <v>800000</v>
      </c>
      <c r="H65" s="5">
        <f>+(83140/30)*F65</f>
        <v>83140</v>
      </c>
      <c r="I65" s="5"/>
      <c r="J65" s="5"/>
      <c r="K65" s="5">
        <f t="shared" si="32"/>
        <v>883140</v>
      </c>
      <c r="L65" s="5">
        <f>+G65*4%</f>
        <v>32000</v>
      </c>
      <c r="M65" s="5">
        <f>+G65*4%</f>
        <v>32000</v>
      </c>
      <c r="N65" s="5"/>
      <c r="O65" s="5">
        <v>21100</v>
      </c>
      <c r="P65" s="5"/>
      <c r="Q65" s="5"/>
      <c r="R65" s="5"/>
      <c r="S65" s="5"/>
      <c r="T65" s="5">
        <f t="shared" si="46"/>
        <v>85100</v>
      </c>
      <c r="U65" s="7">
        <f t="shared" si="59"/>
        <v>798040</v>
      </c>
      <c r="V65" s="7"/>
      <c r="W65" s="44"/>
      <c r="X65" s="7">
        <f t="shared" si="4"/>
        <v>798040</v>
      </c>
    </row>
    <row r="66" spans="1:27" ht="17.25" customHeight="1" x14ac:dyDescent="0.25">
      <c r="A66" s="90"/>
      <c r="B66" s="4">
        <v>20</v>
      </c>
      <c r="C66" s="11" t="s">
        <v>92</v>
      </c>
      <c r="D66" s="6" t="s">
        <v>27</v>
      </c>
      <c r="E66" s="5">
        <v>3500000</v>
      </c>
      <c r="F66" s="5">
        <v>30</v>
      </c>
      <c r="G66" s="5">
        <f>+E66/30*F66</f>
        <v>3500000</v>
      </c>
      <c r="H66" s="5">
        <v>0</v>
      </c>
      <c r="I66" s="5"/>
      <c r="J66" s="5">
        <v>68359</v>
      </c>
      <c r="K66" s="5">
        <f t="shared" si="32"/>
        <v>3568359</v>
      </c>
      <c r="L66" s="5">
        <v>140000</v>
      </c>
      <c r="M66" s="5">
        <v>175000</v>
      </c>
      <c r="N66" s="5"/>
      <c r="O66" s="5"/>
      <c r="P66" s="5">
        <v>0</v>
      </c>
      <c r="Q66" s="5"/>
      <c r="R66" s="5"/>
      <c r="S66" s="5"/>
      <c r="T66" s="5">
        <f t="shared" si="46"/>
        <v>315000</v>
      </c>
      <c r="U66" s="7">
        <f t="shared" si="59"/>
        <v>3253359</v>
      </c>
      <c r="V66" s="7"/>
      <c r="W66" s="44"/>
      <c r="X66" s="7">
        <f t="shared" si="4"/>
        <v>3253359</v>
      </c>
    </row>
    <row r="67" spans="1:27" ht="17.25" customHeight="1" x14ac:dyDescent="0.25">
      <c r="A67" s="90"/>
      <c r="B67" s="4">
        <v>21</v>
      </c>
      <c r="C67" s="11" t="s">
        <v>93</v>
      </c>
      <c r="D67" s="6" t="s">
        <v>27</v>
      </c>
      <c r="E67" s="5">
        <v>1200000</v>
      </c>
      <c r="F67" s="5">
        <v>30</v>
      </c>
      <c r="G67" s="5">
        <f>+E67-J67</f>
        <v>1200000</v>
      </c>
      <c r="H67" s="5">
        <f>+(83140/30)*F67</f>
        <v>83140</v>
      </c>
      <c r="I67" s="5"/>
      <c r="J67" s="5">
        <v>0</v>
      </c>
      <c r="K67" s="5">
        <f t="shared" ref="K67:K71" si="60">SUM(G67:I67)+J67</f>
        <v>1283140</v>
      </c>
      <c r="L67" s="5">
        <f>+E67*4%</f>
        <v>48000</v>
      </c>
      <c r="M67" s="5">
        <f>+E67*4%</f>
        <v>48000</v>
      </c>
      <c r="N67" s="5"/>
      <c r="O67" s="5"/>
      <c r="P67" s="5"/>
      <c r="Q67" s="5"/>
      <c r="R67" s="5"/>
      <c r="S67" s="5"/>
      <c r="T67" s="5">
        <f t="shared" ref="T67:T71" si="61">SUM(L67:S67)</f>
        <v>96000</v>
      </c>
      <c r="U67" s="7">
        <f t="shared" si="59"/>
        <v>1187140</v>
      </c>
      <c r="V67" s="7"/>
      <c r="W67" s="44"/>
      <c r="X67" s="7">
        <f t="shared" si="4"/>
        <v>1187140</v>
      </c>
    </row>
    <row r="68" spans="1:27" ht="17.25" customHeight="1" x14ac:dyDescent="0.25">
      <c r="A68" s="90"/>
      <c r="B68" s="4">
        <v>22</v>
      </c>
      <c r="C68" s="11" t="s">
        <v>155</v>
      </c>
      <c r="D68" s="6"/>
      <c r="E68" s="5">
        <v>3500000</v>
      </c>
      <c r="F68" s="5">
        <v>22</v>
      </c>
      <c r="G68" s="5">
        <f>+E68/30*F68</f>
        <v>2566666.666666667</v>
      </c>
      <c r="H68" s="5"/>
      <c r="I68" s="5"/>
      <c r="J68" s="5"/>
      <c r="K68" s="5">
        <f t="shared" ref="K68" si="62">SUM(G68:I68)+J68</f>
        <v>2566666.666666667</v>
      </c>
      <c r="L68" s="5">
        <f>+G68*4%</f>
        <v>102666.66666666669</v>
      </c>
      <c r="M68" s="5">
        <f>+G68*4%</f>
        <v>102666.66666666669</v>
      </c>
      <c r="N68" s="5"/>
      <c r="O68" s="5"/>
      <c r="P68" s="5"/>
      <c r="Q68" s="5"/>
      <c r="R68" s="5"/>
      <c r="S68" s="5"/>
      <c r="T68" s="5">
        <f t="shared" si="61"/>
        <v>205333.33333333337</v>
      </c>
      <c r="U68" s="7">
        <f t="shared" si="59"/>
        <v>2361333.3333333335</v>
      </c>
      <c r="V68" s="7"/>
      <c r="W68" s="44"/>
      <c r="X68" s="7">
        <f t="shared" ref="X68:X106" si="63">U68+V68-W68</f>
        <v>2361333.3333333335</v>
      </c>
    </row>
    <row r="69" spans="1:27" ht="17.25" customHeight="1" x14ac:dyDescent="0.25">
      <c r="A69" s="90"/>
      <c r="B69" s="4">
        <v>23</v>
      </c>
      <c r="C69" s="11" t="s">
        <v>94</v>
      </c>
      <c r="D69" s="6"/>
      <c r="E69" s="5">
        <v>1030410</v>
      </c>
      <c r="F69" s="5">
        <v>30</v>
      </c>
      <c r="G69" s="5">
        <f>+E69/30*F69</f>
        <v>1030410</v>
      </c>
      <c r="H69" s="5">
        <f>+(83140/30)*F69</f>
        <v>83140</v>
      </c>
      <c r="I69" s="5"/>
      <c r="J69" s="5"/>
      <c r="K69" s="5">
        <f t="shared" ref="K69" si="64">SUM(G69:I69)+J69</f>
        <v>1113550</v>
      </c>
      <c r="L69" s="5">
        <f>+G69*4%</f>
        <v>41216.400000000001</v>
      </c>
      <c r="M69" s="5">
        <f>+G69*4%</f>
        <v>41216.400000000001</v>
      </c>
      <c r="N69" s="5"/>
      <c r="O69" s="5"/>
      <c r="P69" s="5"/>
      <c r="Q69" s="5"/>
      <c r="R69" s="5"/>
      <c r="S69" s="5"/>
      <c r="T69" s="5">
        <f t="shared" si="61"/>
        <v>82432.800000000003</v>
      </c>
      <c r="U69" s="7">
        <f t="shared" si="59"/>
        <v>1031117.2</v>
      </c>
      <c r="V69" s="7"/>
      <c r="W69" s="44"/>
      <c r="X69" s="7">
        <f t="shared" si="63"/>
        <v>1031117.2</v>
      </c>
    </row>
    <row r="70" spans="1:27" x14ac:dyDescent="0.25">
      <c r="A70" s="90"/>
      <c r="B70" s="4">
        <v>24</v>
      </c>
      <c r="C70" s="3" t="s">
        <v>96</v>
      </c>
      <c r="D70" s="4"/>
      <c r="E70" s="5">
        <v>4000000</v>
      </c>
      <c r="F70" s="5">
        <v>30</v>
      </c>
      <c r="G70" s="5">
        <f t="shared" ref="G70" si="65">+E70/30*F70</f>
        <v>4000000.0000000005</v>
      </c>
      <c r="H70" s="5"/>
      <c r="I70" s="5"/>
      <c r="J70" s="5"/>
      <c r="K70" s="5">
        <f t="shared" ref="K70" si="66">SUM(G70:I70)+J70</f>
        <v>4000000.0000000005</v>
      </c>
      <c r="L70" s="5">
        <f>+G70*4%</f>
        <v>160000.00000000003</v>
      </c>
      <c r="M70" s="5">
        <f>+G70*5%</f>
        <v>200000.00000000003</v>
      </c>
      <c r="N70" s="5"/>
      <c r="O70" s="5"/>
      <c r="P70" s="5"/>
      <c r="Q70" s="5"/>
      <c r="R70" s="5"/>
      <c r="S70" s="5"/>
      <c r="T70" s="5">
        <f t="shared" ref="T70" si="67">SUM(L70:S70)</f>
        <v>360000.00000000006</v>
      </c>
      <c r="U70" s="7">
        <f t="shared" ref="U70" si="68">+K70-T70</f>
        <v>3640000.0000000005</v>
      </c>
      <c r="V70" s="7"/>
      <c r="W70" s="44"/>
      <c r="X70" s="7">
        <f t="shared" si="63"/>
        <v>3640000.0000000005</v>
      </c>
    </row>
    <row r="71" spans="1:27" ht="17.25" customHeight="1" x14ac:dyDescent="0.25">
      <c r="A71" s="90"/>
      <c r="B71" s="4">
        <v>25</v>
      </c>
      <c r="C71" s="11" t="s">
        <v>97</v>
      </c>
      <c r="D71" s="6" t="s">
        <v>27</v>
      </c>
      <c r="E71" s="5">
        <v>900000</v>
      </c>
      <c r="F71" s="5">
        <v>30</v>
      </c>
      <c r="G71" s="5">
        <f>E71/30*F71</f>
        <v>900000</v>
      </c>
      <c r="H71" s="5">
        <v>83140</v>
      </c>
      <c r="I71" s="5"/>
      <c r="J71" s="5"/>
      <c r="K71" s="5">
        <f t="shared" si="60"/>
        <v>983140</v>
      </c>
      <c r="L71" s="5">
        <f>+G71*4%</f>
        <v>36000</v>
      </c>
      <c r="M71" s="5">
        <f>+G71*4%</f>
        <v>36000</v>
      </c>
      <c r="N71" s="5"/>
      <c r="O71" s="5"/>
      <c r="P71" s="5"/>
      <c r="Q71" s="5"/>
      <c r="R71" s="5"/>
      <c r="S71" s="5"/>
      <c r="T71" s="5">
        <f t="shared" si="61"/>
        <v>72000</v>
      </c>
      <c r="U71" s="7">
        <f>K71-T71</f>
        <v>911140</v>
      </c>
      <c r="V71" s="7"/>
      <c r="W71" s="44"/>
      <c r="X71" s="7">
        <f t="shared" si="63"/>
        <v>911140</v>
      </c>
    </row>
    <row r="72" spans="1:27" ht="15.75" customHeight="1" x14ac:dyDescent="0.25">
      <c r="A72" s="90"/>
      <c r="B72" s="4">
        <v>26</v>
      </c>
      <c r="C72" s="11" t="s">
        <v>98</v>
      </c>
      <c r="D72" s="6" t="s">
        <v>27</v>
      </c>
      <c r="E72" s="5">
        <v>2000000</v>
      </c>
      <c r="F72" s="5">
        <v>29</v>
      </c>
      <c r="G72" s="5">
        <f>E72/30*F72</f>
        <v>1933333.3333333335</v>
      </c>
      <c r="H72" s="5"/>
      <c r="I72" s="5"/>
      <c r="J72" s="5">
        <v>133333</v>
      </c>
      <c r="K72" s="5">
        <f t="shared" si="32"/>
        <v>2066666.3333333335</v>
      </c>
      <c r="L72" s="5">
        <f>+K72*4%</f>
        <v>82666.653333333335</v>
      </c>
      <c r="M72" s="5">
        <f>+K72*4%</f>
        <v>82666.653333333335</v>
      </c>
      <c r="N72" s="5"/>
      <c r="O72" s="5"/>
      <c r="P72" s="5">
        <v>0</v>
      </c>
      <c r="Q72" s="5"/>
      <c r="R72" s="5"/>
      <c r="S72" s="5">
        <v>254624</v>
      </c>
      <c r="T72" s="5">
        <f t="shared" si="46"/>
        <v>419957.30666666664</v>
      </c>
      <c r="U72" s="7">
        <f t="shared" si="59"/>
        <v>1646709.0266666668</v>
      </c>
      <c r="V72" s="7"/>
      <c r="W72" s="44"/>
      <c r="X72" s="7">
        <f t="shared" si="63"/>
        <v>1646709.0266666668</v>
      </c>
      <c r="AA72" s="45">
        <f>1196000+644000</f>
        <v>1840000</v>
      </c>
    </row>
    <row r="73" spans="1:27" ht="15.75" customHeight="1" x14ac:dyDescent="0.25">
      <c r="A73" s="90"/>
      <c r="B73" s="4">
        <v>27</v>
      </c>
      <c r="C73" s="11" t="s">
        <v>156</v>
      </c>
      <c r="D73" s="6"/>
      <c r="E73" s="5">
        <v>368858</v>
      </c>
      <c r="F73" s="5">
        <v>19</v>
      </c>
      <c r="G73" s="5">
        <f t="shared" ref="G73" si="69">+E73/30*F73</f>
        <v>233610.06666666665</v>
      </c>
      <c r="H73" s="5"/>
      <c r="I73" s="5"/>
      <c r="J73" s="5"/>
      <c r="K73" s="5">
        <f t="shared" ref="K73" si="70">SUM(G73:I73)+J73</f>
        <v>233610.06666666665</v>
      </c>
      <c r="L73" s="5"/>
      <c r="M73" s="5"/>
      <c r="N73" s="5"/>
      <c r="O73" s="5"/>
      <c r="P73" s="5"/>
      <c r="Q73" s="5"/>
      <c r="R73" s="5"/>
      <c r="S73" s="5"/>
      <c r="T73" s="5">
        <f t="shared" ref="T73" si="71">SUM(L73:S73)</f>
        <v>0</v>
      </c>
      <c r="U73" s="7">
        <f t="shared" si="59"/>
        <v>233610.06666666665</v>
      </c>
      <c r="V73" s="7"/>
      <c r="W73" s="44"/>
      <c r="X73" s="7">
        <f t="shared" si="63"/>
        <v>233610.06666666665</v>
      </c>
    </row>
    <row r="74" spans="1:27" x14ac:dyDescent="0.25">
      <c r="A74" s="90"/>
      <c r="B74" s="4">
        <v>28</v>
      </c>
      <c r="C74" s="3" t="s">
        <v>101</v>
      </c>
      <c r="D74" s="4" t="s">
        <v>27</v>
      </c>
      <c r="E74" s="5">
        <v>800000</v>
      </c>
      <c r="F74" s="5">
        <v>30</v>
      </c>
      <c r="G74" s="5">
        <f>(E74/30*F74)</f>
        <v>800000</v>
      </c>
      <c r="H74" s="5">
        <f>+(83140/30)*F74</f>
        <v>83140</v>
      </c>
      <c r="I74" s="5"/>
      <c r="J74" s="5"/>
      <c r="K74" s="5">
        <f t="shared" si="32"/>
        <v>883140</v>
      </c>
      <c r="L74" s="5">
        <f>+G74*4%</f>
        <v>32000</v>
      </c>
      <c r="M74" s="5">
        <f>+G74*4%</f>
        <v>32000</v>
      </c>
      <c r="N74" s="5"/>
      <c r="O74" s="5">
        <v>34500</v>
      </c>
      <c r="P74" s="5"/>
      <c r="Q74" s="5"/>
      <c r="R74" s="5"/>
      <c r="S74" s="5"/>
      <c r="T74" s="5">
        <f t="shared" si="46"/>
        <v>98500</v>
      </c>
      <c r="U74" s="7">
        <f t="shared" si="59"/>
        <v>784640</v>
      </c>
      <c r="V74" s="7"/>
      <c r="W74" s="44"/>
      <c r="X74" s="7">
        <f t="shared" si="63"/>
        <v>784640</v>
      </c>
      <c r="AA74" s="45">
        <f>1840000-1196000</f>
        <v>644000</v>
      </c>
    </row>
    <row r="75" spans="1:27" ht="20.25" customHeight="1" x14ac:dyDescent="0.25">
      <c r="A75" s="90"/>
      <c r="B75" s="4">
        <v>29</v>
      </c>
      <c r="C75" s="11" t="s">
        <v>103</v>
      </c>
      <c r="D75" s="6" t="s">
        <v>27</v>
      </c>
      <c r="E75" s="5">
        <v>3500000</v>
      </c>
      <c r="F75" s="5">
        <v>30</v>
      </c>
      <c r="G75" s="5">
        <f t="shared" ref="G75:G79" si="72">+E75/30*F75</f>
        <v>3500000</v>
      </c>
      <c r="H75" s="5"/>
      <c r="I75" s="5"/>
      <c r="J75" s="5">
        <f>+E75-G75</f>
        <v>0</v>
      </c>
      <c r="K75" s="5">
        <f t="shared" si="32"/>
        <v>3500000</v>
      </c>
      <c r="L75" s="5">
        <v>140000</v>
      </c>
      <c r="M75" s="5">
        <v>175000</v>
      </c>
      <c r="N75" s="5"/>
      <c r="O75" s="5">
        <v>30900</v>
      </c>
      <c r="P75" s="5">
        <v>0</v>
      </c>
      <c r="Q75" s="5"/>
      <c r="R75" s="5"/>
      <c r="S75" s="5">
        <v>996534</v>
      </c>
      <c r="T75" s="5">
        <f t="shared" si="46"/>
        <v>1342434</v>
      </c>
      <c r="U75" s="7">
        <f t="shared" ref="U75:U83" si="73">+K75-T75</f>
        <v>2157566</v>
      </c>
      <c r="V75" s="7"/>
      <c r="W75" s="44"/>
      <c r="X75" s="7">
        <f t="shared" si="63"/>
        <v>2157566</v>
      </c>
    </row>
    <row r="76" spans="1:27" x14ac:dyDescent="0.25">
      <c r="A76" s="90"/>
      <c r="B76" s="4">
        <v>30</v>
      </c>
      <c r="C76" s="11" t="s">
        <v>105</v>
      </c>
      <c r="D76" s="6" t="s">
        <v>27</v>
      </c>
      <c r="E76" s="5">
        <v>4000000</v>
      </c>
      <c r="F76" s="5">
        <v>30</v>
      </c>
      <c r="G76" s="5">
        <f t="shared" si="72"/>
        <v>4000000.0000000005</v>
      </c>
      <c r="H76" s="5"/>
      <c r="I76" s="5"/>
      <c r="J76" s="5"/>
      <c r="K76" s="5">
        <f t="shared" si="32"/>
        <v>4000000.0000000005</v>
      </c>
      <c r="L76" s="5">
        <v>160000</v>
      </c>
      <c r="M76" s="5">
        <v>200000</v>
      </c>
      <c r="N76" s="5"/>
      <c r="O76" s="5"/>
      <c r="P76" s="5">
        <v>3000</v>
      </c>
      <c r="Q76" s="5"/>
      <c r="R76" s="5"/>
      <c r="S76" s="5"/>
      <c r="T76" s="5">
        <f t="shared" si="46"/>
        <v>363000</v>
      </c>
      <c r="U76" s="7">
        <f t="shared" si="73"/>
        <v>3637000.0000000005</v>
      </c>
      <c r="V76" s="7"/>
      <c r="W76" s="44"/>
      <c r="X76" s="7">
        <f t="shared" si="63"/>
        <v>3637000.0000000005</v>
      </c>
      <c r="Y76" s="45" t="s">
        <v>106</v>
      </c>
    </row>
    <row r="77" spans="1:27" x14ac:dyDescent="0.25">
      <c r="A77" s="90"/>
      <c r="B77" s="4">
        <v>31</v>
      </c>
      <c r="C77" s="11" t="s">
        <v>107</v>
      </c>
      <c r="D77" s="6" t="s">
        <v>27</v>
      </c>
      <c r="E77" s="5">
        <v>900000</v>
      </c>
      <c r="F77" s="5">
        <v>30</v>
      </c>
      <c r="G77" s="5">
        <f>+E77/30*F77</f>
        <v>900000</v>
      </c>
      <c r="H77" s="5">
        <f>+(83140/30)*F77</f>
        <v>83140</v>
      </c>
      <c r="I77" s="5"/>
      <c r="J77" s="5"/>
      <c r="K77" s="5">
        <f t="shared" ref="K77" si="74">SUM(G77:I77)+J77</f>
        <v>983140</v>
      </c>
      <c r="L77" s="5">
        <f>+G77*4%</f>
        <v>36000</v>
      </c>
      <c r="M77" s="5">
        <f>+G77*4%</f>
        <v>36000</v>
      </c>
      <c r="N77" s="5"/>
      <c r="O77" s="5"/>
      <c r="P77" s="5">
        <v>0</v>
      </c>
      <c r="Q77" s="5"/>
      <c r="R77" s="5"/>
      <c r="S77" s="5"/>
      <c r="T77" s="5">
        <f t="shared" ref="T77" si="75">SUM(L77:S77)</f>
        <v>72000</v>
      </c>
      <c r="U77" s="7">
        <f t="shared" si="73"/>
        <v>911140</v>
      </c>
      <c r="V77" s="7"/>
      <c r="W77" s="44"/>
      <c r="X77" s="7">
        <f t="shared" si="63"/>
        <v>911140</v>
      </c>
      <c r="Y77" s="45" t="s">
        <v>106</v>
      </c>
    </row>
    <row r="78" spans="1:27" x14ac:dyDescent="0.25">
      <c r="A78" s="90"/>
      <c r="B78" s="4">
        <v>32</v>
      </c>
      <c r="C78" s="11" t="s">
        <v>108</v>
      </c>
      <c r="D78" s="6" t="s">
        <v>27</v>
      </c>
      <c r="E78" s="5">
        <v>3000000</v>
      </c>
      <c r="F78" s="5">
        <v>30</v>
      </c>
      <c r="G78" s="5">
        <f t="shared" si="72"/>
        <v>3000000</v>
      </c>
      <c r="H78" s="5"/>
      <c r="I78" s="5"/>
      <c r="J78" s="5"/>
      <c r="K78" s="5">
        <f t="shared" si="32"/>
        <v>3000000</v>
      </c>
      <c r="L78" s="5">
        <f>+E78*4%</f>
        <v>120000</v>
      </c>
      <c r="M78" s="5">
        <f>+E78*5%</f>
        <v>150000</v>
      </c>
      <c r="N78" s="5"/>
      <c r="O78" s="5"/>
      <c r="P78" s="17">
        <v>0</v>
      </c>
      <c r="Q78" s="5"/>
      <c r="R78" s="5"/>
      <c r="S78" s="5">
        <v>586000</v>
      </c>
      <c r="T78" s="5">
        <f t="shared" si="46"/>
        <v>856000</v>
      </c>
      <c r="U78" s="7">
        <f t="shared" si="73"/>
        <v>2144000</v>
      </c>
      <c r="V78" s="7"/>
      <c r="W78" s="44"/>
      <c r="X78" s="7">
        <f t="shared" si="63"/>
        <v>2144000</v>
      </c>
    </row>
    <row r="79" spans="1:27" x14ac:dyDescent="0.25">
      <c r="A79" s="90"/>
      <c r="B79" s="4">
        <v>33</v>
      </c>
      <c r="C79" s="11" t="s">
        <v>109</v>
      </c>
      <c r="D79" s="6"/>
      <c r="E79" s="5">
        <v>4500000</v>
      </c>
      <c r="F79" s="5">
        <v>30</v>
      </c>
      <c r="G79" s="5">
        <f t="shared" si="72"/>
        <v>4500000</v>
      </c>
      <c r="H79" s="5"/>
      <c r="I79" s="5"/>
      <c r="J79" s="5"/>
      <c r="K79" s="5">
        <f t="shared" ref="K79" si="76">SUM(G79:I79)+J79</f>
        <v>4500000</v>
      </c>
      <c r="L79" s="5">
        <f>+G79*4%</f>
        <v>180000</v>
      </c>
      <c r="M79" s="5">
        <f>+G79*5%</f>
        <v>225000</v>
      </c>
      <c r="N79" s="5"/>
      <c r="O79" s="5"/>
      <c r="P79" s="17">
        <v>72000</v>
      </c>
      <c r="Q79" s="5"/>
      <c r="R79" s="5"/>
      <c r="S79" s="5"/>
      <c r="T79" s="5">
        <f t="shared" ref="T79:T80" si="77">SUM(L79:S79)</f>
        <v>477000</v>
      </c>
      <c r="U79" s="7">
        <f t="shared" si="73"/>
        <v>4023000</v>
      </c>
      <c r="V79" s="7"/>
      <c r="W79" s="44"/>
      <c r="X79" s="7">
        <f t="shared" si="63"/>
        <v>4023000</v>
      </c>
    </row>
    <row r="80" spans="1:27" ht="24" x14ac:dyDescent="0.25">
      <c r="A80" s="90"/>
      <c r="B80" s="4">
        <v>34</v>
      </c>
      <c r="C80" s="11" t="s">
        <v>110</v>
      </c>
      <c r="D80" s="6" t="s">
        <v>27</v>
      </c>
      <c r="E80" s="5">
        <v>900000</v>
      </c>
      <c r="F80" s="5">
        <v>30</v>
      </c>
      <c r="G80" s="5">
        <f>+E80/30*F80</f>
        <v>900000</v>
      </c>
      <c r="H80" s="5">
        <f>+(83140/30)*F80</f>
        <v>83140</v>
      </c>
      <c r="I80" s="5"/>
      <c r="J80" s="5"/>
      <c r="K80" s="5">
        <f t="shared" ref="K80" si="78">SUM(G80:I80)+J80</f>
        <v>983140</v>
      </c>
      <c r="L80" s="5">
        <f>+G80*4%</f>
        <v>36000</v>
      </c>
      <c r="M80" s="5">
        <f>+G80*4%</f>
        <v>36000</v>
      </c>
      <c r="N80" s="5"/>
      <c r="O80" s="5"/>
      <c r="P80" s="17">
        <v>0</v>
      </c>
      <c r="Q80" s="5"/>
      <c r="R80" s="5"/>
      <c r="S80" s="5"/>
      <c r="T80" s="5">
        <f t="shared" si="77"/>
        <v>72000</v>
      </c>
      <c r="U80" s="7">
        <f t="shared" si="73"/>
        <v>911140</v>
      </c>
      <c r="V80" s="7"/>
      <c r="W80" s="44"/>
      <c r="X80" s="7">
        <f t="shared" si="63"/>
        <v>911140</v>
      </c>
    </row>
    <row r="81" spans="1:24" x14ac:dyDescent="0.25">
      <c r="A81" s="90"/>
      <c r="B81" s="4">
        <v>35</v>
      </c>
      <c r="C81" s="11" t="s">
        <v>150</v>
      </c>
      <c r="D81" s="6"/>
      <c r="E81" s="5">
        <v>2000000</v>
      </c>
      <c r="F81" s="5">
        <v>30</v>
      </c>
      <c r="G81" s="5">
        <f>+E81/30*F81</f>
        <v>2000000.0000000002</v>
      </c>
      <c r="H81" s="5"/>
      <c r="I81" s="5"/>
      <c r="J81" s="5"/>
      <c r="K81" s="5">
        <f t="shared" ref="K81" si="79">SUM(G81:I81)+J81</f>
        <v>2000000.0000000002</v>
      </c>
      <c r="L81" s="5">
        <f>+G81*4%</f>
        <v>80000.000000000015</v>
      </c>
      <c r="M81" s="5">
        <f>+G81*4%</f>
        <v>80000.000000000015</v>
      </c>
      <c r="N81" s="5"/>
      <c r="O81" s="5">
        <v>21300</v>
      </c>
      <c r="P81" s="5">
        <v>0</v>
      </c>
      <c r="Q81" s="5"/>
      <c r="R81" s="5"/>
      <c r="S81" s="5"/>
      <c r="T81" s="5">
        <f t="shared" ref="T81" si="80">SUM(L81:S81)</f>
        <v>181300.00000000003</v>
      </c>
      <c r="U81" s="7">
        <f t="shared" si="73"/>
        <v>1818700.0000000002</v>
      </c>
      <c r="V81" s="7"/>
      <c r="W81" s="44"/>
      <c r="X81" s="7">
        <f t="shared" si="63"/>
        <v>1818700.0000000002</v>
      </c>
    </row>
    <row r="82" spans="1:24" x14ac:dyDescent="0.25">
      <c r="A82" s="90"/>
      <c r="B82" s="4">
        <v>36</v>
      </c>
      <c r="C82" s="11" t="s">
        <v>111</v>
      </c>
      <c r="D82" s="6" t="s">
        <v>27</v>
      </c>
      <c r="E82" s="5">
        <v>2500000</v>
      </c>
      <c r="F82" s="5">
        <v>30</v>
      </c>
      <c r="G82" s="5">
        <f>+E82-J82</f>
        <v>2500000</v>
      </c>
      <c r="H82" s="5"/>
      <c r="I82" s="5"/>
      <c r="J82" s="5">
        <v>0</v>
      </c>
      <c r="K82" s="5">
        <f t="shared" ref="K82:K105" si="81">SUM(G82:I82)+J82</f>
        <v>2500000</v>
      </c>
      <c r="L82" s="5">
        <v>100000</v>
      </c>
      <c r="M82" s="5">
        <v>100000</v>
      </c>
      <c r="N82" s="5"/>
      <c r="O82" s="5">
        <v>55300</v>
      </c>
      <c r="P82" s="5">
        <v>0</v>
      </c>
      <c r="Q82" s="5"/>
      <c r="R82" s="5"/>
      <c r="S82" s="5">
        <v>257196</v>
      </c>
      <c r="T82" s="5">
        <f t="shared" si="46"/>
        <v>512496</v>
      </c>
      <c r="U82" s="7">
        <f t="shared" si="73"/>
        <v>1987504</v>
      </c>
      <c r="V82" s="7"/>
      <c r="W82" s="44"/>
      <c r="X82" s="7">
        <f t="shared" si="63"/>
        <v>1987504</v>
      </c>
    </row>
    <row r="83" spans="1:24" x14ac:dyDescent="0.25">
      <c r="A83" s="90"/>
      <c r="B83" s="4">
        <v>37</v>
      </c>
      <c r="C83" s="11" t="s">
        <v>112</v>
      </c>
      <c r="D83" s="6" t="s">
        <v>27</v>
      </c>
      <c r="E83" s="5">
        <v>4500000</v>
      </c>
      <c r="F83" s="5">
        <v>30</v>
      </c>
      <c r="G83" s="5">
        <f>+E83/30*F83</f>
        <v>4500000</v>
      </c>
      <c r="H83" s="5"/>
      <c r="I83" s="5"/>
      <c r="J83" s="5"/>
      <c r="K83" s="5">
        <f t="shared" ref="K83:K84" si="82">SUM(G83:I83)+J83</f>
        <v>4500000</v>
      </c>
      <c r="L83" s="5">
        <v>180000</v>
      </c>
      <c r="M83" s="5">
        <v>225000</v>
      </c>
      <c r="N83" s="5"/>
      <c r="O83" s="5"/>
      <c r="P83" s="5">
        <v>72000</v>
      </c>
      <c r="Q83" s="5"/>
      <c r="R83" s="5"/>
      <c r="S83" s="5"/>
      <c r="T83" s="5">
        <f t="shared" ref="T83" si="83">SUM(L83:S83)</f>
        <v>477000</v>
      </c>
      <c r="U83" s="7">
        <f t="shared" si="73"/>
        <v>4023000</v>
      </c>
      <c r="V83" s="7"/>
      <c r="W83" s="44"/>
      <c r="X83" s="7">
        <f t="shared" si="63"/>
        <v>4023000</v>
      </c>
    </row>
    <row r="84" spans="1:24" x14ac:dyDescent="0.25">
      <c r="A84" s="90"/>
      <c r="B84" s="4">
        <v>38</v>
      </c>
      <c r="C84" s="11" t="s">
        <v>113</v>
      </c>
      <c r="D84" s="6" t="s">
        <v>27</v>
      </c>
      <c r="E84" s="5">
        <v>4500000</v>
      </c>
      <c r="F84" s="5">
        <v>13</v>
      </c>
      <c r="G84" s="5">
        <f>+E84/30*F84</f>
        <v>1950000</v>
      </c>
      <c r="H84" s="5"/>
      <c r="I84" s="5"/>
      <c r="J84" s="5">
        <v>2700000</v>
      </c>
      <c r="K84" s="5">
        <f t="shared" si="82"/>
        <v>4650000</v>
      </c>
      <c r="L84" s="5">
        <f>+K84*4%</f>
        <v>186000</v>
      </c>
      <c r="M84" s="5">
        <f>+K84*5%</f>
        <v>232500</v>
      </c>
      <c r="N84" s="5"/>
      <c r="O84" s="5"/>
      <c r="P84" s="5">
        <v>73073</v>
      </c>
      <c r="Q84" s="5"/>
      <c r="R84" s="5"/>
      <c r="S84" s="5"/>
      <c r="T84" s="5">
        <f>SUM(L84:S84)</f>
        <v>491573</v>
      </c>
      <c r="U84" s="7">
        <f t="shared" ref="U84:U91" si="84">K84-T84</f>
        <v>4158427</v>
      </c>
      <c r="V84" s="7"/>
      <c r="W84" s="44"/>
      <c r="X84" s="7">
        <f t="shared" si="63"/>
        <v>4158427</v>
      </c>
    </row>
    <row r="85" spans="1:24" x14ac:dyDescent="0.25">
      <c r="A85" s="90"/>
      <c r="B85" s="4">
        <v>39</v>
      </c>
      <c r="C85" s="11" t="s">
        <v>114</v>
      </c>
      <c r="D85" s="6" t="s">
        <v>27</v>
      </c>
      <c r="E85" s="5">
        <v>2500000</v>
      </c>
      <c r="F85" s="5">
        <v>30</v>
      </c>
      <c r="G85" s="5">
        <f t="shared" ref="G85" si="85">+E85/30*F85</f>
        <v>2500000</v>
      </c>
      <c r="H85" s="5"/>
      <c r="I85" s="5">
        <v>500000</v>
      </c>
      <c r="J85" s="5">
        <f>+E85-G85</f>
        <v>0</v>
      </c>
      <c r="K85" s="5">
        <f t="shared" si="81"/>
        <v>3000000</v>
      </c>
      <c r="L85" s="5">
        <v>100000</v>
      </c>
      <c r="M85" s="5">
        <v>100000</v>
      </c>
      <c r="N85" s="5"/>
      <c r="O85" s="5"/>
      <c r="P85" s="5">
        <v>0</v>
      </c>
      <c r="Q85" s="5"/>
      <c r="R85" s="5"/>
      <c r="S85" s="5"/>
      <c r="T85" s="5">
        <f t="shared" si="46"/>
        <v>200000</v>
      </c>
      <c r="U85" s="7">
        <f t="shared" si="84"/>
        <v>2800000</v>
      </c>
      <c r="V85" s="7"/>
      <c r="W85" s="44"/>
      <c r="X85" s="7">
        <f t="shared" si="63"/>
        <v>2800000</v>
      </c>
    </row>
    <row r="86" spans="1:24" x14ac:dyDescent="0.25">
      <c r="A86" s="90"/>
      <c r="B86" s="4">
        <v>40</v>
      </c>
      <c r="C86" s="11" t="s">
        <v>116</v>
      </c>
      <c r="D86" s="6" t="s">
        <v>27</v>
      </c>
      <c r="E86" s="5">
        <v>900000</v>
      </c>
      <c r="F86" s="5">
        <v>30</v>
      </c>
      <c r="G86" s="5">
        <f>+E86/30*F86</f>
        <v>900000</v>
      </c>
      <c r="H86" s="5">
        <f>+(83140/30)*F86</f>
        <v>83140</v>
      </c>
      <c r="I86" s="5"/>
      <c r="J86" s="5"/>
      <c r="K86" s="5">
        <f t="shared" ref="K86" si="86">SUM(G86:I86)+J86</f>
        <v>983140</v>
      </c>
      <c r="L86" s="5">
        <f>+G86*4%</f>
        <v>36000</v>
      </c>
      <c r="M86" s="5">
        <f>+G86*4%</f>
        <v>36000</v>
      </c>
      <c r="N86" s="5"/>
      <c r="O86" s="5">
        <v>18800</v>
      </c>
      <c r="P86" s="5"/>
      <c r="Q86" s="5"/>
      <c r="R86" s="5"/>
      <c r="S86" s="5"/>
      <c r="T86" s="5">
        <f t="shared" ref="T86" si="87">SUM(L86:S86)</f>
        <v>90800</v>
      </c>
      <c r="U86" s="7">
        <f t="shared" si="84"/>
        <v>892340</v>
      </c>
      <c r="V86" s="7"/>
      <c r="W86" s="44"/>
      <c r="X86" s="7">
        <f t="shared" si="63"/>
        <v>892340</v>
      </c>
    </row>
    <row r="87" spans="1:24" x14ac:dyDescent="0.25">
      <c r="A87" s="90"/>
      <c r="B87" s="4">
        <v>41</v>
      </c>
      <c r="C87" s="11" t="s">
        <v>157</v>
      </c>
      <c r="D87" s="6"/>
      <c r="E87" s="5">
        <v>3200000</v>
      </c>
      <c r="F87" s="5">
        <v>29</v>
      </c>
      <c r="G87" s="5">
        <f>+E87/30*F87</f>
        <v>3093333.3333333335</v>
      </c>
      <c r="H87" s="5"/>
      <c r="I87" s="5"/>
      <c r="J87" s="5"/>
      <c r="K87" s="5">
        <f>SUM(G87:I87)+J87</f>
        <v>3093333.3333333335</v>
      </c>
      <c r="L87" s="5">
        <f>+G87*4%</f>
        <v>123733.33333333334</v>
      </c>
      <c r="M87" s="5">
        <f>+G87*4%</f>
        <v>123733.33333333334</v>
      </c>
      <c r="N87" s="5"/>
      <c r="O87" s="5"/>
      <c r="P87" s="5"/>
      <c r="Q87" s="5"/>
      <c r="R87" s="5"/>
      <c r="S87" s="5"/>
      <c r="T87" s="5">
        <f t="shared" ref="T87" si="88">SUM(L87:S87)</f>
        <v>247466.66666666669</v>
      </c>
      <c r="U87" s="7">
        <f t="shared" si="84"/>
        <v>2845866.666666667</v>
      </c>
      <c r="V87" s="7"/>
      <c r="W87" s="44"/>
      <c r="X87" s="7"/>
    </row>
    <row r="88" spans="1:24" ht="23.25" customHeight="1" x14ac:dyDescent="0.25">
      <c r="A88" s="90"/>
      <c r="B88" s="4">
        <v>42</v>
      </c>
      <c r="C88" s="3" t="s">
        <v>117</v>
      </c>
      <c r="D88" s="4" t="s">
        <v>27</v>
      </c>
      <c r="E88" s="5">
        <v>737717</v>
      </c>
      <c r="F88" s="5">
        <v>30</v>
      </c>
      <c r="G88" s="5">
        <f>+E88/30*F88</f>
        <v>737717</v>
      </c>
      <c r="H88" s="5">
        <v>83139</v>
      </c>
      <c r="I88" s="5">
        <v>48992</v>
      </c>
      <c r="J88" s="5"/>
      <c r="K88" s="5">
        <f t="shared" si="81"/>
        <v>869848</v>
      </c>
      <c r="L88" s="5">
        <v>29509</v>
      </c>
      <c r="M88" s="5">
        <v>29509</v>
      </c>
      <c r="N88" s="5"/>
      <c r="O88" s="5">
        <v>22200</v>
      </c>
      <c r="P88" s="5">
        <v>0</v>
      </c>
      <c r="Q88" s="5"/>
      <c r="R88" s="5"/>
      <c r="S88" s="5"/>
      <c r="T88" s="5">
        <f t="shared" si="46"/>
        <v>81218</v>
      </c>
      <c r="U88" s="7">
        <f t="shared" si="84"/>
        <v>788630</v>
      </c>
      <c r="V88" s="7"/>
      <c r="W88" s="44"/>
      <c r="X88" s="7">
        <f t="shared" si="63"/>
        <v>788630</v>
      </c>
    </row>
    <row r="89" spans="1:24" x14ac:dyDescent="0.25">
      <c r="A89" s="90"/>
      <c r="B89" s="4">
        <v>43</v>
      </c>
      <c r="C89" s="3" t="s">
        <v>118</v>
      </c>
      <c r="D89" s="4"/>
      <c r="E89" s="5">
        <v>5000000</v>
      </c>
      <c r="F89" s="5">
        <v>30</v>
      </c>
      <c r="G89" s="5">
        <f>+E89/30*F89</f>
        <v>5000000</v>
      </c>
      <c r="H89" s="5"/>
      <c r="I89" s="5"/>
      <c r="J89" s="5"/>
      <c r="K89" s="5">
        <f t="shared" ref="K89:K90" si="89">SUM(G89:I89)+J89</f>
        <v>5000000</v>
      </c>
      <c r="L89" s="5">
        <f>+G89*4%</f>
        <v>200000</v>
      </c>
      <c r="M89" s="5">
        <f>+G89*5%</f>
        <v>250000</v>
      </c>
      <c r="N89" s="5"/>
      <c r="O89" s="5"/>
      <c r="P89" s="5">
        <v>102000</v>
      </c>
      <c r="Q89" s="5"/>
      <c r="R89" s="5"/>
      <c r="S89" s="5"/>
      <c r="T89" s="5">
        <f t="shared" ref="T89:T90" si="90">SUM(L89:S89)</f>
        <v>552000</v>
      </c>
      <c r="U89" s="7">
        <f t="shared" si="84"/>
        <v>4448000</v>
      </c>
      <c r="V89" s="7"/>
      <c r="W89" s="44"/>
      <c r="X89" s="7">
        <f t="shared" si="63"/>
        <v>4448000</v>
      </c>
    </row>
    <row r="90" spans="1:24" x14ac:dyDescent="0.25">
      <c r="A90" s="90"/>
      <c r="B90" s="4">
        <v>44</v>
      </c>
      <c r="C90" s="3" t="s">
        <v>158</v>
      </c>
      <c r="D90" s="4"/>
      <c r="E90" s="5">
        <v>1500000</v>
      </c>
      <c r="F90" s="5">
        <v>9</v>
      </c>
      <c r="G90" s="5">
        <f>+E90/30*F90</f>
        <v>450000</v>
      </c>
      <c r="H90" s="5"/>
      <c r="I90" s="5"/>
      <c r="J90" s="5"/>
      <c r="K90" s="5">
        <f t="shared" si="89"/>
        <v>450000</v>
      </c>
      <c r="L90" s="5">
        <f>+G90*4%</f>
        <v>18000</v>
      </c>
      <c r="M90" s="5">
        <f>+G90*4%</f>
        <v>18000</v>
      </c>
      <c r="N90" s="5"/>
      <c r="O90" s="5"/>
      <c r="P90" s="5"/>
      <c r="Q90" s="5"/>
      <c r="R90" s="5"/>
      <c r="S90" s="5"/>
      <c r="T90" s="5">
        <f t="shared" si="90"/>
        <v>36000</v>
      </c>
      <c r="U90" s="7">
        <f t="shared" si="84"/>
        <v>414000</v>
      </c>
      <c r="V90" s="7"/>
      <c r="W90" s="44"/>
      <c r="X90" s="7"/>
    </row>
    <row r="91" spans="1:24" x14ac:dyDescent="0.25">
      <c r="A91" s="90"/>
      <c r="B91" s="4">
        <v>45</v>
      </c>
      <c r="C91" s="3" t="s">
        <v>119</v>
      </c>
      <c r="D91" s="4" t="s">
        <v>27</v>
      </c>
      <c r="E91" s="5">
        <v>1400000</v>
      </c>
      <c r="F91" s="5">
        <v>30</v>
      </c>
      <c r="G91" s="5">
        <f>+E91-J91</f>
        <v>1400000</v>
      </c>
      <c r="H91" s="5">
        <f>+(83140/30)*F91</f>
        <v>83140</v>
      </c>
      <c r="I91" s="5"/>
      <c r="J91" s="5">
        <v>0</v>
      </c>
      <c r="K91" s="5">
        <f t="shared" ref="K91" si="91">SUM(G91:I91)+J91</f>
        <v>1483140</v>
      </c>
      <c r="L91" s="5">
        <f>+E91*4%</f>
        <v>56000</v>
      </c>
      <c r="M91" s="5">
        <f>+E91*4%</f>
        <v>56000</v>
      </c>
      <c r="N91" s="5"/>
      <c r="O91" s="5">
        <v>56000</v>
      </c>
      <c r="P91" s="5">
        <v>0</v>
      </c>
      <c r="Q91" s="5"/>
      <c r="R91" s="5"/>
      <c r="S91" s="5"/>
      <c r="T91" s="5">
        <f t="shared" ref="T91" si="92">SUM(L91:S91)</f>
        <v>168000</v>
      </c>
      <c r="U91" s="7">
        <f t="shared" si="84"/>
        <v>1315140</v>
      </c>
      <c r="V91" s="7"/>
      <c r="W91" s="44"/>
      <c r="X91" s="7">
        <f t="shared" si="63"/>
        <v>1315140</v>
      </c>
    </row>
    <row r="92" spans="1:24" x14ac:dyDescent="0.25">
      <c r="A92" s="90"/>
      <c r="B92" s="4">
        <v>46</v>
      </c>
      <c r="C92" s="11" t="s">
        <v>120</v>
      </c>
      <c r="D92" s="6" t="s">
        <v>27</v>
      </c>
      <c r="E92" s="5">
        <v>15400000</v>
      </c>
      <c r="F92" s="5">
        <v>30</v>
      </c>
      <c r="G92" s="5">
        <f t="shared" ref="G92:G98" si="93">+E92/30*F92</f>
        <v>15400000</v>
      </c>
      <c r="H92" s="5"/>
      <c r="I92" s="5">
        <v>600000</v>
      </c>
      <c r="J92" s="5"/>
      <c r="K92" s="5">
        <f t="shared" si="81"/>
        <v>16000000</v>
      </c>
      <c r="L92" s="5">
        <v>616000</v>
      </c>
      <c r="M92" s="5">
        <f>616000+308000</f>
        <v>924000</v>
      </c>
      <c r="N92" s="5">
        <v>102400</v>
      </c>
      <c r="O92" s="5"/>
      <c r="P92" s="5">
        <v>916000</v>
      </c>
      <c r="Q92" s="5">
        <v>5000000</v>
      </c>
      <c r="R92" s="5">
        <v>180180</v>
      </c>
      <c r="S92" s="5">
        <v>2314715</v>
      </c>
      <c r="T92" s="5">
        <f t="shared" si="46"/>
        <v>10053295</v>
      </c>
      <c r="U92" s="7">
        <f>+K92-T92</f>
        <v>5946705</v>
      </c>
      <c r="V92" s="7"/>
      <c r="W92" s="44"/>
      <c r="X92" s="7">
        <f t="shared" si="63"/>
        <v>5946705</v>
      </c>
    </row>
    <row r="93" spans="1:24" x14ac:dyDescent="0.25">
      <c r="A93" s="90"/>
      <c r="B93" s="4">
        <v>47</v>
      </c>
      <c r="C93" s="11" t="s">
        <v>121</v>
      </c>
      <c r="D93" s="6" t="s">
        <v>27</v>
      </c>
      <c r="E93" s="5">
        <v>4500000</v>
      </c>
      <c r="F93" s="5">
        <v>30</v>
      </c>
      <c r="G93" s="5">
        <f t="shared" si="93"/>
        <v>4500000</v>
      </c>
      <c r="H93" s="5"/>
      <c r="I93" s="5">
        <v>0</v>
      </c>
      <c r="J93" s="5"/>
      <c r="K93" s="5">
        <f t="shared" si="81"/>
        <v>4500000</v>
      </c>
      <c r="L93" s="5">
        <f t="shared" ref="L93:L94" si="94">+G93*4%</f>
        <v>180000</v>
      </c>
      <c r="M93" s="5">
        <f>+G93*5%</f>
        <v>225000</v>
      </c>
      <c r="N93" s="5"/>
      <c r="O93" s="5"/>
      <c r="P93" s="5">
        <v>90000</v>
      </c>
      <c r="Q93" s="5"/>
      <c r="R93" s="5"/>
      <c r="S93" s="5"/>
      <c r="T93" s="5">
        <f t="shared" si="46"/>
        <v>495000</v>
      </c>
      <c r="U93" s="7">
        <f>+K93-T93</f>
        <v>4005000</v>
      </c>
      <c r="V93" s="7"/>
      <c r="W93" s="44"/>
      <c r="X93" s="7">
        <f t="shared" si="63"/>
        <v>4005000</v>
      </c>
    </row>
    <row r="94" spans="1:24" ht="24" x14ac:dyDescent="0.25">
      <c r="A94" s="90"/>
      <c r="B94" s="4">
        <v>48</v>
      </c>
      <c r="C94" s="11" t="s">
        <v>159</v>
      </c>
      <c r="D94" s="6"/>
      <c r="E94" s="5">
        <v>1600000</v>
      </c>
      <c r="F94" s="5">
        <v>14</v>
      </c>
      <c r="G94" s="5">
        <f t="shared" si="93"/>
        <v>746666.66666666674</v>
      </c>
      <c r="H94" s="5"/>
      <c r="I94" s="5"/>
      <c r="J94" s="5"/>
      <c r="K94" s="5">
        <f t="shared" ref="K94" si="95">SUM(G94:I94)+J94</f>
        <v>746666.66666666674</v>
      </c>
      <c r="L94" s="5">
        <f t="shared" si="94"/>
        <v>29866.666666666672</v>
      </c>
      <c r="M94" s="5">
        <f>+G94*4%</f>
        <v>29866.666666666672</v>
      </c>
      <c r="N94" s="5"/>
      <c r="O94" s="5"/>
      <c r="P94" s="5"/>
      <c r="Q94" s="5"/>
      <c r="R94" s="5"/>
      <c r="S94" s="5"/>
      <c r="T94" s="5">
        <f t="shared" ref="T94" si="96">SUM(L94:S94)</f>
        <v>59733.333333333343</v>
      </c>
      <c r="U94" s="7">
        <f>+K94-T94</f>
        <v>686933.33333333337</v>
      </c>
      <c r="V94" s="7"/>
      <c r="W94" s="44"/>
      <c r="X94" s="7"/>
    </row>
    <row r="95" spans="1:24" x14ac:dyDescent="0.25">
      <c r="A95" s="90"/>
      <c r="B95" s="4">
        <v>49</v>
      </c>
      <c r="C95" s="11" t="s">
        <v>122</v>
      </c>
      <c r="D95" s="6" t="s">
        <v>27</v>
      </c>
      <c r="E95" s="5">
        <v>2000000</v>
      </c>
      <c r="F95" s="5">
        <v>30</v>
      </c>
      <c r="G95" s="5">
        <f t="shared" si="93"/>
        <v>2000000.0000000002</v>
      </c>
      <c r="H95" s="5"/>
      <c r="I95" s="5"/>
      <c r="J95" s="5">
        <f>+E95-G95</f>
        <v>0</v>
      </c>
      <c r="K95" s="5">
        <f t="shared" si="81"/>
        <v>2000000.0000000002</v>
      </c>
      <c r="L95" s="5">
        <f>+G95*4%</f>
        <v>80000.000000000015</v>
      </c>
      <c r="M95" s="5">
        <f>+G95*4%</f>
        <v>80000.000000000015</v>
      </c>
      <c r="N95" s="5"/>
      <c r="O95" s="5"/>
      <c r="P95" s="5">
        <v>0</v>
      </c>
      <c r="Q95" s="5"/>
      <c r="R95" s="5"/>
      <c r="S95" s="5"/>
      <c r="T95" s="5">
        <f t="shared" si="46"/>
        <v>160000.00000000003</v>
      </c>
      <c r="U95" s="7">
        <f>+K95-T95</f>
        <v>1840000.0000000002</v>
      </c>
      <c r="V95" s="7"/>
      <c r="W95" s="44"/>
      <c r="X95" s="7">
        <f t="shared" si="63"/>
        <v>1840000.0000000002</v>
      </c>
    </row>
    <row r="96" spans="1:24" x14ac:dyDescent="0.25">
      <c r="A96" s="90"/>
      <c r="B96" s="4">
        <v>50</v>
      </c>
      <c r="C96" s="3" t="s">
        <v>123</v>
      </c>
      <c r="D96" s="4" t="s">
        <v>27</v>
      </c>
      <c r="E96" s="5">
        <v>3000000</v>
      </c>
      <c r="F96" s="5">
        <v>30</v>
      </c>
      <c r="G96" s="5">
        <f t="shared" si="93"/>
        <v>3000000</v>
      </c>
      <c r="H96" s="5"/>
      <c r="I96" s="5">
        <v>270000</v>
      </c>
      <c r="J96" s="5">
        <f>+E96-G96</f>
        <v>0</v>
      </c>
      <c r="K96" s="5">
        <f t="shared" si="81"/>
        <v>3270000</v>
      </c>
      <c r="L96" s="5">
        <f>+E96*4%</f>
        <v>120000</v>
      </c>
      <c r="M96" s="5">
        <f>+G96*5%</f>
        <v>150000</v>
      </c>
      <c r="N96" s="5"/>
      <c r="O96" s="5"/>
      <c r="P96" s="5">
        <v>0</v>
      </c>
      <c r="Q96" s="5"/>
      <c r="R96" s="5"/>
      <c r="S96" s="5"/>
      <c r="T96" s="5">
        <f t="shared" si="46"/>
        <v>270000</v>
      </c>
      <c r="U96" s="7">
        <f>K96-T96</f>
        <v>3000000</v>
      </c>
      <c r="V96" s="7"/>
      <c r="W96" s="44"/>
      <c r="X96" s="7">
        <f t="shared" si="63"/>
        <v>3000000</v>
      </c>
    </row>
    <row r="97" spans="1:24" x14ac:dyDescent="0.25">
      <c r="A97" s="90"/>
      <c r="B97" s="4">
        <v>51</v>
      </c>
      <c r="C97" s="3" t="s">
        <v>124</v>
      </c>
      <c r="D97" s="4" t="s">
        <v>27</v>
      </c>
      <c r="E97" s="5">
        <v>1600000</v>
      </c>
      <c r="F97" s="5">
        <v>30</v>
      </c>
      <c r="G97" s="5">
        <f t="shared" si="93"/>
        <v>1600000</v>
      </c>
      <c r="H97" s="5"/>
      <c r="I97" s="5">
        <v>200000</v>
      </c>
      <c r="J97" s="5"/>
      <c r="K97" s="5">
        <f t="shared" si="81"/>
        <v>1800000</v>
      </c>
      <c r="L97" s="5">
        <f>+G97*4%</f>
        <v>64000</v>
      </c>
      <c r="M97" s="5">
        <f>+G97*4%</f>
        <v>64000</v>
      </c>
      <c r="N97" s="5"/>
      <c r="O97" s="5"/>
      <c r="P97" s="5"/>
      <c r="Q97" s="5"/>
      <c r="R97" s="5"/>
      <c r="S97" s="5"/>
      <c r="T97" s="5">
        <f>SUM(L97:S97)</f>
        <v>128000</v>
      </c>
      <c r="U97" s="7">
        <f>K97-T97</f>
        <v>1672000</v>
      </c>
      <c r="V97" s="7"/>
      <c r="W97" s="44"/>
      <c r="X97" s="7">
        <f t="shared" si="63"/>
        <v>1672000</v>
      </c>
    </row>
    <row r="98" spans="1:24" x14ac:dyDescent="0.25">
      <c r="A98" s="90"/>
      <c r="B98" s="4">
        <v>52</v>
      </c>
      <c r="C98" s="3" t="s">
        <v>126</v>
      </c>
      <c r="D98" s="4"/>
      <c r="E98" s="5">
        <v>4500000</v>
      </c>
      <c r="F98" s="5">
        <v>30</v>
      </c>
      <c r="G98" s="5">
        <f t="shared" si="93"/>
        <v>4500000</v>
      </c>
      <c r="H98" s="5"/>
      <c r="I98" s="5"/>
      <c r="J98" s="5"/>
      <c r="K98" s="5">
        <f t="shared" ref="K98" si="97">SUM(G98:I98)+J98</f>
        <v>4500000</v>
      </c>
      <c r="L98" s="5">
        <f>+G98*4%</f>
        <v>180000</v>
      </c>
      <c r="M98" s="5">
        <f>+G98*5%</f>
        <v>225000</v>
      </c>
      <c r="N98" s="5"/>
      <c r="O98" s="5"/>
      <c r="P98" s="5">
        <v>34000</v>
      </c>
      <c r="Q98" s="5"/>
      <c r="R98" s="5"/>
      <c r="S98" s="5"/>
      <c r="T98" s="5">
        <f>SUM(L98:S98)</f>
        <v>439000</v>
      </c>
      <c r="U98" s="7">
        <f>K98-T98</f>
        <v>4061000</v>
      </c>
      <c r="V98" s="7"/>
      <c r="W98" s="44"/>
      <c r="X98" s="7">
        <f t="shared" si="63"/>
        <v>4061000</v>
      </c>
    </row>
    <row r="99" spans="1:24" ht="24" x14ac:dyDescent="0.25">
      <c r="A99" s="90"/>
      <c r="B99" s="4">
        <v>53</v>
      </c>
      <c r="C99" s="11" t="s">
        <v>128</v>
      </c>
      <c r="D99" s="6" t="s">
        <v>27</v>
      </c>
      <c r="E99" s="5">
        <v>3000000</v>
      </c>
      <c r="F99" s="5">
        <v>30</v>
      </c>
      <c r="G99" s="5">
        <f>+E99-J99</f>
        <v>3000000</v>
      </c>
      <c r="H99" s="5"/>
      <c r="I99" s="5"/>
      <c r="J99" s="5">
        <v>0</v>
      </c>
      <c r="K99" s="5">
        <f t="shared" si="81"/>
        <v>3000000</v>
      </c>
      <c r="L99" s="5">
        <f>+E99*4%</f>
        <v>120000</v>
      </c>
      <c r="M99" s="5">
        <f>+E99*4%</f>
        <v>120000</v>
      </c>
      <c r="N99" s="5"/>
      <c r="O99" s="5">
        <v>23700</v>
      </c>
      <c r="P99" s="5"/>
      <c r="Q99" s="5"/>
      <c r="R99" s="5"/>
      <c r="S99" s="5"/>
      <c r="T99" s="5">
        <f t="shared" si="46"/>
        <v>263700</v>
      </c>
      <c r="U99" s="7">
        <f>+K99-T99</f>
        <v>2736300</v>
      </c>
      <c r="V99" s="7"/>
      <c r="W99" s="44"/>
      <c r="X99" s="7">
        <f t="shared" si="63"/>
        <v>2736300</v>
      </c>
    </row>
    <row r="100" spans="1:24" x14ac:dyDescent="0.25">
      <c r="A100" s="90"/>
      <c r="B100" s="4">
        <v>54</v>
      </c>
      <c r="C100" s="11" t="s">
        <v>129</v>
      </c>
      <c r="D100" s="6" t="s">
        <v>27</v>
      </c>
      <c r="E100" s="5">
        <v>3700000</v>
      </c>
      <c r="F100" s="5">
        <v>30</v>
      </c>
      <c r="G100" s="5">
        <f t="shared" ref="G100" si="98">+E100/30*F100</f>
        <v>3700000</v>
      </c>
      <c r="H100" s="5"/>
      <c r="I100" s="5">
        <v>650000</v>
      </c>
      <c r="J100" s="5"/>
      <c r="K100" s="5">
        <f t="shared" ref="K100" si="99">SUM(G100:I100)+J100</f>
        <v>4350000</v>
      </c>
      <c r="L100" s="5">
        <f t="shared" ref="L100" si="100">+G100*4%</f>
        <v>148000</v>
      </c>
      <c r="M100" s="5">
        <f>+G100*5%</f>
        <v>185000</v>
      </c>
      <c r="N100" s="5"/>
      <c r="O100" s="5"/>
      <c r="P100" s="5"/>
      <c r="Q100" s="5"/>
      <c r="R100" s="5"/>
      <c r="S100" s="5"/>
      <c r="T100" s="5">
        <f t="shared" ref="T100" si="101">SUM(L100:S100)</f>
        <v>333000</v>
      </c>
      <c r="U100" s="7">
        <f>+K100-T100</f>
        <v>4017000</v>
      </c>
      <c r="V100" s="7"/>
      <c r="W100" s="44"/>
      <c r="X100" s="7">
        <f t="shared" si="63"/>
        <v>4017000</v>
      </c>
    </row>
    <row r="101" spans="1:24" x14ac:dyDescent="0.25">
      <c r="A101" s="90"/>
      <c r="B101" s="4">
        <v>55</v>
      </c>
      <c r="C101" s="11" t="s">
        <v>130</v>
      </c>
      <c r="D101" s="6" t="s">
        <v>35</v>
      </c>
      <c r="E101" s="5">
        <v>1800000</v>
      </c>
      <c r="F101" s="5">
        <v>30</v>
      </c>
      <c r="G101" s="5">
        <f>+E101-J101</f>
        <v>1800000</v>
      </c>
      <c r="H101" s="5"/>
      <c r="I101" s="5"/>
      <c r="J101" s="5">
        <v>0</v>
      </c>
      <c r="K101" s="5">
        <f t="shared" si="81"/>
        <v>1800000</v>
      </c>
      <c r="L101" s="5">
        <f>+E101*4%</f>
        <v>72000</v>
      </c>
      <c r="M101" s="5">
        <f>+E101*4%</f>
        <v>72000</v>
      </c>
      <c r="N101" s="5"/>
      <c r="O101" s="5"/>
      <c r="P101" s="17"/>
      <c r="Q101" s="5"/>
      <c r="R101" s="5"/>
      <c r="S101" s="5">
        <v>136805</v>
      </c>
      <c r="T101" s="5">
        <f t="shared" si="46"/>
        <v>280805</v>
      </c>
      <c r="U101" s="7">
        <f>+K101-T101</f>
        <v>1519195</v>
      </c>
      <c r="V101" s="7"/>
      <c r="W101" s="44"/>
      <c r="X101" s="7">
        <f t="shared" si="63"/>
        <v>1519195</v>
      </c>
    </row>
    <row r="102" spans="1:24" x14ac:dyDescent="0.25">
      <c r="A102" s="90"/>
      <c r="B102" s="4">
        <v>56</v>
      </c>
      <c r="C102" s="3" t="s">
        <v>131</v>
      </c>
      <c r="D102" s="4" t="s">
        <v>27</v>
      </c>
      <c r="E102" s="5">
        <v>1600000</v>
      </c>
      <c r="F102" s="5">
        <v>30</v>
      </c>
      <c r="G102" s="5">
        <f>+E102-J102</f>
        <v>1600000</v>
      </c>
      <c r="H102" s="5"/>
      <c r="I102" s="5"/>
      <c r="J102" s="5">
        <v>0</v>
      </c>
      <c r="K102" s="5">
        <f t="shared" si="81"/>
        <v>1600000</v>
      </c>
      <c r="L102" s="5">
        <f>+K102*4%</f>
        <v>64000</v>
      </c>
      <c r="M102" s="5">
        <v>64000</v>
      </c>
      <c r="N102" s="5"/>
      <c r="O102" s="5">
        <v>68000</v>
      </c>
      <c r="P102" s="5">
        <v>0</v>
      </c>
      <c r="Q102" s="5"/>
      <c r="R102" s="5"/>
      <c r="S102" s="5">
        <v>249127</v>
      </c>
      <c r="T102" s="5">
        <f t="shared" si="46"/>
        <v>445127</v>
      </c>
      <c r="U102" s="7">
        <f>K102-T102</f>
        <v>1154873</v>
      </c>
      <c r="V102" s="7"/>
      <c r="W102" s="44"/>
      <c r="X102" s="7">
        <f t="shared" si="63"/>
        <v>1154873</v>
      </c>
    </row>
    <row r="103" spans="1:24" x14ac:dyDescent="0.25">
      <c r="A103" s="90"/>
      <c r="B103" s="4">
        <v>57</v>
      </c>
      <c r="C103" s="11" t="s">
        <v>132</v>
      </c>
      <c r="D103" s="6" t="s">
        <v>27</v>
      </c>
      <c r="E103" s="5">
        <v>737717</v>
      </c>
      <c r="F103" s="5">
        <v>30</v>
      </c>
      <c r="G103" s="5">
        <f>+E103/30*F103</f>
        <v>737717</v>
      </c>
      <c r="H103" s="5">
        <f t="shared" ref="H103" si="102">+(83140/30)*F103</f>
        <v>83140</v>
      </c>
      <c r="I103" s="5"/>
      <c r="J103" s="5"/>
      <c r="K103" s="5">
        <f t="shared" si="81"/>
        <v>820857</v>
      </c>
      <c r="L103" s="5">
        <v>29509</v>
      </c>
      <c r="M103" s="5">
        <v>29509</v>
      </c>
      <c r="N103" s="5"/>
      <c r="O103" s="5"/>
      <c r="P103" s="5">
        <v>0</v>
      </c>
      <c r="Q103" s="5"/>
      <c r="R103" s="5"/>
      <c r="S103" s="5"/>
      <c r="T103" s="5">
        <f t="shared" si="46"/>
        <v>59018</v>
      </c>
      <c r="U103" s="7">
        <f t="shared" ref="U103:U108" si="103">+K103-T103</f>
        <v>761839</v>
      </c>
      <c r="V103" s="7"/>
      <c r="W103" s="44"/>
      <c r="X103" s="7">
        <f t="shared" si="63"/>
        <v>761839</v>
      </c>
    </row>
    <row r="104" spans="1:24" ht="24" x14ac:dyDescent="0.25">
      <c r="A104" s="90"/>
      <c r="B104" s="4">
        <v>58</v>
      </c>
      <c r="C104" s="11" t="s">
        <v>134</v>
      </c>
      <c r="D104" s="6" t="s">
        <v>27</v>
      </c>
      <c r="E104" s="5">
        <v>1800000</v>
      </c>
      <c r="F104" s="5">
        <v>30</v>
      </c>
      <c r="G104" s="5">
        <f>+E104/30*F104</f>
        <v>1800000</v>
      </c>
      <c r="H104" s="5"/>
      <c r="I104" s="5"/>
      <c r="J104" s="21"/>
      <c r="K104" s="5">
        <f t="shared" ref="K104" si="104">SUM(G104:I104)+J104</f>
        <v>1800000</v>
      </c>
      <c r="L104" s="5">
        <f t="shared" ref="L104" si="105">+G104*4%</f>
        <v>72000</v>
      </c>
      <c r="M104" s="5">
        <f t="shared" ref="M104" si="106">+G104*4%</f>
        <v>72000</v>
      </c>
      <c r="N104" s="5"/>
      <c r="O104" s="5"/>
      <c r="P104" s="5">
        <v>0</v>
      </c>
      <c r="Q104" s="5"/>
      <c r="R104" s="5"/>
      <c r="S104" s="5"/>
      <c r="T104" s="5">
        <f t="shared" ref="T104" si="107">SUM(L104:S104)</f>
        <v>144000</v>
      </c>
      <c r="U104" s="7">
        <f t="shared" si="103"/>
        <v>1656000</v>
      </c>
      <c r="V104" s="7"/>
      <c r="W104" s="44"/>
      <c r="X104" s="7">
        <f t="shared" si="63"/>
        <v>1656000</v>
      </c>
    </row>
    <row r="105" spans="1:24" ht="18.75" customHeight="1" x14ac:dyDescent="0.25">
      <c r="A105" s="90"/>
      <c r="B105" s="4">
        <v>59</v>
      </c>
      <c r="C105" s="11" t="s">
        <v>135</v>
      </c>
      <c r="D105" s="6" t="s">
        <v>27</v>
      </c>
      <c r="E105" s="5">
        <v>2000000</v>
      </c>
      <c r="F105" s="5">
        <v>30</v>
      </c>
      <c r="G105" s="5">
        <f t="shared" ref="G105" si="108">+E105/30*F105</f>
        <v>2000000.0000000002</v>
      </c>
      <c r="H105" s="5"/>
      <c r="I105" s="5"/>
      <c r="J105" s="5">
        <f>+E105-G105</f>
        <v>0</v>
      </c>
      <c r="K105" s="5">
        <f t="shared" si="81"/>
        <v>2000000.0000000002</v>
      </c>
      <c r="L105" s="5">
        <v>80000</v>
      </c>
      <c r="M105" s="5">
        <v>80000</v>
      </c>
      <c r="N105" s="5"/>
      <c r="O105" s="5"/>
      <c r="P105" s="5"/>
      <c r="Q105" s="5"/>
      <c r="R105" s="5"/>
      <c r="S105" s="5"/>
      <c r="T105" s="5">
        <f t="shared" si="46"/>
        <v>160000</v>
      </c>
      <c r="U105" s="7">
        <f t="shared" si="103"/>
        <v>1840000.0000000002</v>
      </c>
      <c r="V105" s="7"/>
      <c r="W105" s="44"/>
      <c r="X105" s="7">
        <f t="shared" si="63"/>
        <v>1840000.0000000002</v>
      </c>
    </row>
    <row r="106" spans="1:24" ht="18.75" customHeight="1" x14ac:dyDescent="0.25">
      <c r="A106" s="90"/>
      <c r="B106" s="4">
        <v>60</v>
      </c>
      <c r="C106" s="11" t="s">
        <v>137</v>
      </c>
      <c r="D106" s="6"/>
      <c r="E106" s="5">
        <v>1070000</v>
      </c>
      <c r="F106" s="5">
        <v>30</v>
      </c>
      <c r="G106" s="5">
        <f>+E106/30*F106</f>
        <v>1070000</v>
      </c>
      <c r="H106" s="5">
        <f t="shared" ref="H106" si="109">+(83140/30)*F106</f>
        <v>83140</v>
      </c>
      <c r="I106" s="5"/>
      <c r="J106" s="22"/>
      <c r="K106" s="5">
        <f t="shared" ref="K106:K107" si="110">SUM(G106:I106)+J106</f>
        <v>1153140</v>
      </c>
      <c r="L106" s="5">
        <f t="shared" ref="L106" si="111">+G106*4%</f>
        <v>42800</v>
      </c>
      <c r="M106" s="5">
        <f t="shared" ref="M106" si="112">+G106*4%</f>
        <v>42800</v>
      </c>
      <c r="N106" s="5"/>
      <c r="O106" s="5"/>
      <c r="P106" s="5">
        <v>0</v>
      </c>
      <c r="Q106" s="5"/>
      <c r="R106" s="5"/>
      <c r="S106" s="5"/>
      <c r="T106" s="5">
        <f t="shared" ref="T106:T107" si="113">SUM(L106:S106)</f>
        <v>85600</v>
      </c>
      <c r="U106" s="7">
        <f t="shared" si="103"/>
        <v>1067540</v>
      </c>
      <c r="V106" s="7"/>
      <c r="W106" s="44"/>
      <c r="X106" s="7">
        <f t="shared" si="63"/>
        <v>1067540</v>
      </c>
    </row>
    <row r="107" spans="1:24" ht="18.75" customHeight="1" x14ac:dyDescent="0.25">
      <c r="A107" s="90"/>
      <c r="B107" s="4">
        <v>61</v>
      </c>
      <c r="C107" s="11" t="s">
        <v>160</v>
      </c>
      <c r="D107" s="6"/>
      <c r="E107" s="5">
        <v>368859</v>
      </c>
      <c r="F107" s="5">
        <v>9</v>
      </c>
      <c r="G107" s="5">
        <f>+E107/30*F107</f>
        <v>110657.7</v>
      </c>
      <c r="H107" s="5"/>
      <c r="I107" s="5"/>
      <c r="J107" s="22"/>
      <c r="K107" s="5">
        <f t="shared" si="110"/>
        <v>110657.7</v>
      </c>
      <c r="L107" s="5"/>
      <c r="M107" s="5"/>
      <c r="N107" s="5"/>
      <c r="O107" s="5"/>
      <c r="P107" s="5"/>
      <c r="Q107" s="5"/>
      <c r="R107" s="5"/>
      <c r="S107" s="5"/>
      <c r="T107" s="5">
        <f t="shared" si="113"/>
        <v>0</v>
      </c>
      <c r="U107" s="7">
        <f t="shared" si="103"/>
        <v>110657.7</v>
      </c>
      <c r="V107" s="7"/>
      <c r="W107" s="44"/>
      <c r="X107" s="7"/>
    </row>
    <row r="108" spans="1:24" x14ac:dyDescent="0.25">
      <c r="A108" s="90"/>
      <c r="B108" s="4">
        <v>62</v>
      </c>
      <c r="C108" s="11" t="s">
        <v>138</v>
      </c>
      <c r="D108" s="6" t="s">
        <v>27</v>
      </c>
      <c r="E108" s="5">
        <v>4400000</v>
      </c>
      <c r="F108" s="5">
        <v>30</v>
      </c>
      <c r="G108" s="5">
        <f>+E108/30*F108</f>
        <v>4400000</v>
      </c>
      <c r="H108" s="5"/>
      <c r="I108" s="5"/>
      <c r="J108" s="5"/>
      <c r="K108" s="5">
        <f t="shared" ref="K108" si="114">SUM(G108:I108)+J108</f>
        <v>4400000</v>
      </c>
      <c r="L108" s="5">
        <f>+G108*4%</f>
        <v>176000</v>
      </c>
      <c r="M108" s="5">
        <f>+G108*5%</f>
        <v>220000</v>
      </c>
      <c r="N108" s="5"/>
      <c r="O108" s="5"/>
      <c r="P108" s="5">
        <v>44000</v>
      </c>
      <c r="Q108" s="5"/>
      <c r="R108" s="5"/>
      <c r="S108" s="5">
        <v>507840</v>
      </c>
      <c r="T108" s="5">
        <f t="shared" si="46"/>
        <v>947840</v>
      </c>
      <c r="U108" s="7">
        <f t="shared" si="103"/>
        <v>3452160</v>
      </c>
      <c r="V108" s="7"/>
      <c r="W108" s="44"/>
      <c r="X108" s="7">
        <f t="shared" ref="X108" si="115">U108+V108-W108</f>
        <v>3452160</v>
      </c>
    </row>
    <row r="109" spans="1:24" x14ac:dyDescent="0.25">
      <c r="A109" s="4"/>
      <c r="B109" s="4"/>
      <c r="C109" s="11" t="s">
        <v>140</v>
      </c>
      <c r="D109" s="4"/>
      <c r="E109" s="5">
        <f>SUM(E4:E108)</f>
        <v>365010260</v>
      </c>
      <c r="F109" s="5" t="s">
        <v>1</v>
      </c>
      <c r="G109" s="7">
        <f t="shared" ref="G109:T109" si="116">SUM(G4:G108)</f>
        <v>357556810.76666665</v>
      </c>
      <c r="H109" s="7">
        <f t="shared" si="116"/>
        <v>1745939</v>
      </c>
      <c r="I109" s="7">
        <f t="shared" si="116"/>
        <v>13774229</v>
      </c>
      <c r="J109" s="7">
        <f t="shared" si="116"/>
        <v>17189304</v>
      </c>
      <c r="K109" s="7">
        <f t="shared" si="116"/>
        <v>390266282.76666665</v>
      </c>
      <c r="L109" s="7">
        <f t="shared" si="116"/>
        <v>14368265.120000001</v>
      </c>
      <c r="M109" s="7">
        <f t="shared" si="116"/>
        <v>17546207.473333333</v>
      </c>
      <c r="N109" s="7">
        <f t="shared" si="116"/>
        <v>102400</v>
      </c>
      <c r="O109" s="7">
        <f t="shared" si="116"/>
        <v>705300</v>
      </c>
      <c r="P109" s="7">
        <f t="shared" si="116"/>
        <v>4626146</v>
      </c>
      <c r="Q109" s="7">
        <f t="shared" si="116"/>
        <v>13800000</v>
      </c>
      <c r="R109" s="7">
        <f t="shared" si="116"/>
        <v>1520279</v>
      </c>
      <c r="S109" s="7">
        <f t="shared" si="116"/>
        <v>11711771</v>
      </c>
      <c r="T109" s="7">
        <f t="shared" si="116"/>
        <v>64380368.593333334</v>
      </c>
      <c r="U109" s="7">
        <f>SUM(U4:U108)</f>
        <v>325885914.17333335</v>
      </c>
      <c r="V109" s="7">
        <f>SUM(V5:V103)</f>
        <v>0</v>
      </c>
      <c r="W109" s="44">
        <f>SUM(W5:W103)</f>
        <v>0</v>
      </c>
      <c r="X109" s="7">
        <f>SUM(X4:X108)</f>
        <v>321828456.47333336</v>
      </c>
    </row>
    <row r="110" spans="1:24" x14ac:dyDescent="0.25">
      <c r="E110" s="54"/>
      <c r="F110" s="54"/>
      <c r="G110" s="54"/>
      <c r="U110" s="55"/>
      <c r="V110" s="55"/>
      <c r="X110" s="55"/>
    </row>
    <row r="111" spans="1:24" x14ac:dyDescent="0.25">
      <c r="D111" s="53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7"/>
      <c r="V111" s="53"/>
      <c r="W111" s="58"/>
      <c r="X111" s="57"/>
    </row>
    <row r="112" spans="1:24" x14ac:dyDescent="0.25">
      <c r="D112" s="53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3"/>
      <c r="V112" s="53"/>
      <c r="W112" s="58"/>
      <c r="X112" s="57"/>
    </row>
    <row r="113" spans="2:28" x14ac:dyDescent="0.25">
      <c r="C113" s="59"/>
      <c r="D113" s="53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3"/>
      <c r="V113" s="53"/>
      <c r="W113" s="58"/>
      <c r="X113" s="57"/>
    </row>
    <row r="114" spans="2:28" x14ac:dyDescent="0.25">
      <c r="C114" s="59"/>
      <c r="D114" s="53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3"/>
      <c r="V114" s="53"/>
      <c r="W114" s="58"/>
      <c r="X114" s="53"/>
      <c r="Y114" s="53"/>
      <c r="Z114" s="53"/>
      <c r="AA114" s="53"/>
      <c r="AB114" s="53"/>
    </row>
    <row r="115" spans="2:28" x14ac:dyDescent="0.25">
      <c r="B115" s="53"/>
      <c r="C115" s="59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54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53"/>
      <c r="Z115" s="53"/>
      <c r="AA115" s="53"/>
      <c r="AB115" s="53"/>
    </row>
    <row r="116" spans="2:28" x14ac:dyDescent="0.25">
      <c r="B116" s="53"/>
      <c r="C116" s="59"/>
      <c r="D116" s="53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3"/>
      <c r="V116" s="53"/>
      <c r="W116" s="58"/>
      <c r="X116" s="53"/>
      <c r="Y116" s="53"/>
      <c r="Z116" s="53"/>
      <c r="AA116" s="53"/>
      <c r="AB116" s="53"/>
    </row>
    <row r="117" spans="2:28" x14ac:dyDescent="0.25">
      <c r="B117" s="53"/>
      <c r="C117" s="59"/>
      <c r="D117" s="53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3"/>
      <c r="V117" s="53"/>
      <c r="W117" s="58"/>
      <c r="X117" s="53"/>
      <c r="Y117" s="53"/>
      <c r="Z117" s="53"/>
      <c r="AA117" s="53"/>
      <c r="AB117" s="53"/>
    </row>
    <row r="118" spans="2:28" x14ac:dyDescent="0.25">
      <c r="B118" s="53"/>
      <c r="C118" s="59"/>
      <c r="D118" s="53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3"/>
      <c r="V118" s="53"/>
      <c r="W118" s="58"/>
      <c r="X118" s="53"/>
      <c r="Y118" s="53"/>
      <c r="Z118" s="53"/>
      <c r="AA118" s="53"/>
      <c r="AB118" s="53"/>
    </row>
    <row r="119" spans="2:28" x14ac:dyDescent="0.25">
      <c r="B119" s="53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2"/>
      <c r="W119" s="63"/>
      <c r="X119" s="62"/>
      <c r="Y119" s="53"/>
      <c r="Z119" s="53"/>
      <c r="AA119" s="53"/>
      <c r="AB119" s="53"/>
    </row>
    <row r="120" spans="2:28" x14ac:dyDescent="0.25">
      <c r="B120" s="64"/>
      <c r="C120" s="59"/>
      <c r="D120" s="62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2"/>
      <c r="V120" s="62"/>
      <c r="W120" s="63"/>
      <c r="X120" s="62"/>
      <c r="Y120" s="53"/>
      <c r="Z120" s="53"/>
      <c r="AA120" s="53"/>
      <c r="AB120" s="53"/>
    </row>
    <row r="121" spans="2:28" x14ac:dyDescent="0.25">
      <c r="B121" s="53"/>
      <c r="C121" s="59"/>
      <c r="D121" s="53"/>
      <c r="E121" s="54"/>
      <c r="F121" s="54"/>
      <c r="G121" s="66"/>
      <c r="H121" s="54"/>
      <c r="I121" s="54"/>
      <c r="J121" s="54"/>
      <c r="K121" s="54"/>
      <c r="L121" s="54"/>
      <c r="M121" s="54"/>
      <c r="N121" s="67"/>
      <c r="O121" s="67"/>
      <c r="P121" s="67"/>
      <c r="Q121" s="67"/>
      <c r="R121" s="67"/>
      <c r="S121" s="54"/>
      <c r="T121" s="54"/>
      <c r="U121" s="53"/>
      <c r="V121" s="53"/>
      <c r="W121" s="58"/>
      <c r="X121" s="53"/>
      <c r="Y121" s="53"/>
      <c r="Z121" s="53"/>
      <c r="AA121" s="53"/>
      <c r="AB121" s="53"/>
    </row>
    <row r="122" spans="2:28" x14ac:dyDescent="0.25">
      <c r="B122" s="53"/>
      <c r="C122" s="68"/>
      <c r="D122" s="62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2"/>
      <c r="V122" s="62"/>
      <c r="W122" s="63"/>
      <c r="X122" s="62"/>
      <c r="Y122" s="53"/>
      <c r="Z122" s="53"/>
      <c r="AA122" s="53"/>
      <c r="AB122" s="53"/>
    </row>
    <row r="123" spans="2:28" x14ac:dyDescent="0.25">
      <c r="B123" s="62"/>
      <c r="C123" s="68"/>
      <c r="D123" s="62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2"/>
      <c r="V123" s="62"/>
      <c r="W123" s="63"/>
      <c r="X123" s="62"/>
      <c r="Y123" s="53"/>
      <c r="Z123" s="53"/>
      <c r="AA123" s="53"/>
      <c r="AB123" s="53"/>
    </row>
    <row r="124" spans="2:28" x14ac:dyDescent="0.25">
      <c r="B124" s="53"/>
      <c r="C124" s="68"/>
      <c r="D124" s="62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7"/>
      <c r="V124" s="57"/>
      <c r="W124" s="58"/>
      <c r="X124" s="57"/>
      <c r="Y124" s="53"/>
      <c r="Z124" s="53"/>
      <c r="AA124" s="53"/>
      <c r="AB124" s="53"/>
    </row>
    <row r="125" spans="2:28" x14ac:dyDescent="0.25">
      <c r="C125" s="68"/>
      <c r="D125" s="62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7"/>
      <c r="V125" s="57"/>
      <c r="W125" s="58"/>
      <c r="X125" s="57"/>
      <c r="Y125" s="53"/>
      <c r="Z125" s="53"/>
      <c r="AA125" s="53"/>
      <c r="AB125" s="53"/>
    </row>
    <row r="126" spans="2:28" x14ac:dyDescent="0.25">
      <c r="C126" s="68"/>
      <c r="D126" s="62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7"/>
      <c r="V126" s="57"/>
      <c r="W126" s="58"/>
      <c r="X126" s="57"/>
      <c r="Y126" s="53"/>
      <c r="Z126" s="53"/>
      <c r="AA126" s="53"/>
      <c r="AB126" s="53"/>
    </row>
    <row r="127" spans="2:28" x14ac:dyDescent="0.25">
      <c r="C127" s="68"/>
      <c r="D127" s="62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7"/>
      <c r="V127" s="57"/>
      <c r="W127" s="58"/>
      <c r="X127" s="57"/>
      <c r="Y127" s="53"/>
      <c r="Z127" s="53"/>
      <c r="AA127" s="53"/>
      <c r="AB127" s="53"/>
    </row>
    <row r="128" spans="2:28" x14ac:dyDescent="0.25">
      <c r="C128" s="68"/>
      <c r="D128" s="62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7"/>
      <c r="V128" s="57"/>
      <c r="W128" s="58"/>
      <c r="X128" s="57"/>
      <c r="Y128" s="53"/>
      <c r="Z128" s="53"/>
      <c r="AA128" s="53"/>
      <c r="AB128" s="53"/>
    </row>
    <row r="129" spans="2:28" x14ac:dyDescent="0.25">
      <c r="C129" s="68"/>
      <c r="D129" s="62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7"/>
      <c r="V129" s="57"/>
      <c r="W129" s="58"/>
      <c r="X129" s="57"/>
      <c r="Y129" s="53"/>
      <c r="Z129" s="53"/>
      <c r="AA129" s="53"/>
      <c r="AB129" s="53"/>
    </row>
    <row r="130" spans="2:28" x14ac:dyDescent="0.25">
      <c r="C130" s="59"/>
      <c r="D130" s="53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7"/>
      <c r="V130" s="57"/>
      <c r="W130" s="58"/>
      <c r="X130" s="57"/>
      <c r="Y130" s="53"/>
      <c r="Z130" s="53"/>
      <c r="AA130" s="53"/>
      <c r="AB130" s="53"/>
    </row>
    <row r="131" spans="2:28" x14ac:dyDescent="0.25">
      <c r="C131" s="68"/>
      <c r="D131" s="53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7"/>
      <c r="V131" s="57"/>
      <c r="W131" s="58"/>
      <c r="X131" s="57"/>
      <c r="Y131" s="53"/>
      <c r="Z131" s="53"/>
      <c r="AA131" s="53"/>
      <c r="AB131" s="53"/>
    </row>
    <row r="132" spans="2:28" x14ac:dyDescent="0.25">
      <c r="C132" s="68"/>
      <c r="D132" s="53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7"/>
      <c r="V132" s="57"/>
      <c r="W132" s="58"/>
      <c r="X132" s="57"/>
      <c r="Y132" s="53"/>
      <c r="Z132" s="53"/>
      <c r="AA132" s="53"/>
      <c r="AB132" s="53"/>
    </row>
    <row r="133" spans="2:28" x14ac:dyDescent="0.25">
      <c r="C133" s="68"/>
      <c r="D133" s="53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7"/>
      <c r="V133" s="57"/>
      <c r="W133" s="58"/>
      <c r="X133" s="57"/>
      <c r="Y133" s="53"/>
      <c r="Z133" s="53"/>
      <c r="AA133" s="53"/>
      <c r="AB133" s="53"/>
    </row>
    <row r="134" spans="2:28" x14ac:dyDescent="0.25">
      <c r="C134" s="68"/>
      <c r="D134" s="53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7"/>
      <c r="V134" s="57"/>
      <c r="W134" s="58"/>
      <c r="X134" s="57"/>
      <c r="Y134" s="53"/>
      <c r="Z134" s="53"/>
      <c r="AA134" s="53"/>
      <c r="AB134" s="53"/>
    </row>
    <row r="135" spans="2:28" x14ac:dyDescent="0.25">
      <c r="C135" s="68"/>
      <c r="D135" s="53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7"/>
      <c r="V135" s="57"/>
      <c r="W135" s="58"/>
      <c r="X135" s="57"/>
      <c r="Y135" s="53"/>
      <c r="Z135" s="53"/>
      <c r="AA135" s="53"/>
      <c r="AB135" s="53"/>
    </row>
    <row r="136" spans="2:28" x14ac:dyDescent="0.25">
      <c r="C136" s="68"/>
      <c r="D136" s="53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7"/>
      <c r="V136" s="57"/>
      <c r="W136" s="58"/>
      <c r="X136" s="57"/>
      <c r="Y136" s="53"/>
      <c r="Z136" s="53"/>
      <c r="AA136" s="53"/>
      <c r="AB136" s="53"/>
    </row>
    <row r="137" spans="2:28" x14ac:dyDescent="0.25">
      <c r="C137" s="68"/>
      <c r="D137" s="53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7"/>
      <c r="V137" s="57"/>
      <c r="W137" s="58"/>
      <c r="X137" s="57"/>
      <c r="Y137" s="53"/>
      <c r="Z137" s="53"/>
      <c r="AA137" s="53"/>
      <c r="AB137" s="53"/>
    </row>
    <row r="138" spans="2:28" x14ac:dyDescent="0.25">
      <c r="C138" s="68"/>
      <c r="D138" s="53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7"/>
      <c r="V138" s="57"/>
      <c r="W138" s="58"/>
      <c r="X138" s="57"/>
      <c r="Y138" s="53"/>
      <c r="Z138" s="53"/>
      <c r="AA138" s="53"/>
      <c r="AB138" s="53"/>
    </row>
    <row r="139" spans="2:28" x14ac:dyDescent="0.25">
      <c r="C139" s="68"/>
      <c r="D139" s="53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7"/>
      <c r="V139" s="57"/>
      <c r="W139" s="58"/>
      <c r="X139" s="57"/>
      <c r="Y139" s="53"/>
      <c r="Z139" s="53"/>
      <c r="AA139" s="53"/>
      <c r="AB139" s="53"/>
    </row>
    <row r="140" spans="2:28" x14ac:dyDescent="0.25">
      <c r="C140" s="68"/>
      <c r="D140" s="53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7"/>
      <c r="V140" s="57"/>
      <c r="W140" s="58"/>
      <c r="X140" s="57"/>
      <c r="Y140" s="53"/>
      <c r="Z140" s="53"/>
      <c r="AA140" s="53"/>
      <c r="AB140" s="53"/>
    </row>
    <row r="141" spans="2:28" x14ac:dyDescent="0.25">
      <c r="C141" s="68"/>
      <c r="D141" s="53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7"/>
      <c r="V141" s="57"/>
      <c r="W141" s="58"/>
      <c r="X141" s="57"/>
      <c r="Y141" s="53"/>
      <c r="Z141" s="53"/>
      <c r="AA141" s="53"/>
      <c r="AB141" s="53"/>
    </row>
    <row r="142" spans="2:28" x14ac:dyDescent="0.25">
      <c r="C142" s="59"/>
      <c r="D142" s="53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3"/>
      <c r="V142" s="53"/>
      <c r="W142" s="58"/>
      <c r="X142" s="53"/>
      <c r="Y142" s="53"/>
      <c r="Z142" s="53"/>
      <c r="AA142" s="53"/>
      <c r="AB142" s="53"/>
    </row>
    <row r="143" spans="2:28" x14ac:dyDescent="0.25">
      <c r="C143" s="59"/>
      <c r="D143" s="53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53"/>
      <c r="S143" s="54"/>
      <c r="T143" s="54"/>
      <c r="U143" s="53"/>
      <c r="V143" s="53"/>
      <c r="W143" s="58"/>
      <c r="X143" s="53"/>
      <c r="Y143" s="53"/>
      <c r="Z143" s="53"/>
      <c r="AA143" s="53"/>
      <c r="AB143" s="53"/>
    </row>
    <row r="144" spans="2:28" x14ac:dyDescent="0.25">
      <c r="B144" s="53"/>
      <c r="C144" s="59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53"/>
      <c r="Z144" s="53"/>
      <c r="AA144" s="53"/>
      <c r="AB144" s="53"/>
    </row>
    <row r="145" spans="2:28" x14ac:dyDescent="0.25">
      <c r="B145" s="53"/>
      <c r="C145" s="59"/>
      <c r="D145" s="53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2"/>
      <c r="V145" s="62"/>
      <c r="W145" s="63"/>
      <c r="X145" s="62"/>
      <c r="Y145" s="53"/>
      <c r="Z145" s="53"/>
      <c r="AA145" s="53"/>
      <c r="AB145" s="53"/>
    </row>
    <row r="146" spans="2:28" x14ac:dyDescent="0.25">
      <c r="B146" s="53"/>
      <c r="C146" s="68"/>
      <c r="D146" s="62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2"/>
      <c r="V146" s="62"/>
      <c r="W146" s="63"/>
      <c r="X146" s="62"/>
    </row>
    <row r="147" spans="2:28" x14ac:dyDescent="0.25">
      <c r="B147" s="69"/>
      <c r="C147" s="68"/>
      <c r="D147" s="62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2"/>
      <c r="V147" s="62"/>
      <c r="W147" s="63"/>
      <c r="X147" s="62"/>
    </row>
    <row r="148" spans="2:28" x14ac:dyDescent="0.25">
      <c r="C148" s="68"/>
      <c r="D148" s="62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7"/>
      <c r="V148" s="57"/>
      <c r="W148" s="58"/>
      <c r="X148" s="57"/>
    </row>
    <row r="149" spans="2:28" x14ac:dyDescent="0.25">
      <c r="C149" s="68"/>
      <c r="D149" s="62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7"/>
      <c r="V149" s="57"/>
      <c r="W149" s="58"/>
      <c r="X149" s="57"/>
    </row>
    <row r="150" spans="2:28" x14ac:dyDescent="0.25">
      <c r="C150" s="68"/>
      <c r="D150" s="62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7"/>
      <c r="V150" s="57"/>
      <c r="W150" s="58"/>
      <c r="X150" s="57"/>
    </row>
    <row r="151" spans="2:28" x14ac:dyDescent="0.25">
      <c r="C151" s="59"/>
      <c r="D151" s="53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7"/>
      <c r="V151" s="57"/>
      <c r="W151" s="58"/>
      <c r="X151" s="57"/>
    </row>
    <row r="152" spans="2:28" x14ac:dyDescent="0.25">
      <c r="C152" s="68"/>
      <c r="D152" s="53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7"/>
      <c r="V152" s="57"/>
      <c r="W152" s="58"/>
      <c r="X152" s="57"/>
    </row>
    <row r="153" spans="2:28" x14ac:dyDescent="0.25">
      <c r="C153" s="59"/>
      <c r="D153" s="53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3"/>
      <c r="V153" s="53"/>
      <c r="W153" s="58"/>
      <c r="X153" s="53"/>
    </row>
    <row r="154" spans="2:28" x14ac:dyDescent="0.25">
      <c r="C154" s="59"/>
      <c r="D154" s="53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7"/>
      <c r="V154" s="57"/>
      <c r="W154" s="58"/>
      <c r="X154" s="57"/>
    </row>
    <row r="155" spans="2:28" x14ac:dyDescent="0.25">
      <c r="B155" s="53"/>
      <c r="C155" s="59"/>
      <c r="D155" s="53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3"/>
      <c r="V155" s="53"/>
      <c r="W155" s="58"/>
      <c r="X155" s="53"/>
    </row>
    <row r="156" spans="2:28" x14ac:dyDescent="0.25">
      <c r="B156" s="53"/>
      <c r="C156" s="59"/>
      <c r="D156" s="53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3"/>
      <c r="V156" s="53"/>
      <c r="W156" s="58"/>
      <c r="X156" s="53"/>
    </row>
    <row r="157" spans="2:28" x14ac:dyDescent="0.25">
      <c r="B157" s="53"/>
      <c r="C157" s="59"/>
      <c r="D157" s="53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70"/>
      <c r="V157" s="70"/>
      <c r="W157" s="58"/>
      <c r="X157" s="70"/>
    </row>
    <row r="158" spans="2:28" x14ac:dyDescent="0.25">
      <c r="B158" s="53"/>
      <c r="C158" s="59"/>
      <c r="D158" s="53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71"/>
      <c r="V158" s="71"/>
      <c r="W158" s="58"/>
      <c r="X158" s="71"/>
    </row>
    <row r="159" spans="2:28" x14ac:dyDescent="0.25">
      <c r="C159" s="59"/>
      <c r="D159" s="53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3"/>
      <c r="V159" s="53"/>
      <c r="W159" s="58"/>
      <c r="X159" s="53"/>
    </row>
    <row r="160" spans="2:28" x14ac:dyDescent="0.25">
      <c r="C160" s="59"/>
      <c r="D160" s="53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3"/>
      <c r="V160" s="53"/>
      <c r="W160" s="58"/>
      <c r="X160" s="53"/>
    </row>
    <row r="161" spans="3:24" x14ac:dyDescent="0.25">
      <c r="C161" s="59"/>
      <c r="D161" s="53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3"/>
      <c r="V161" s="53"/>
      <c r="W161" s="58"/>
      <c r="X161" s="53"/>
    </row>
    <row r="162" spans="3:24" x14ac:dyDescent="0.25">
      <c r="C162" s="59"/>
      <c r="D162" s="53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3"/>
      <c r="V162" s="53"/>
      <c r="W162" s="58"/>
      <c r="X162" s="53"/>
    </row>
    <row r="163" spans="3:24" x14ac:dyDescent="0.25">
      <c r="C163" s="59"/>
      <c r="D163" s="53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3"/>
      <c r="V163" s="53"/>
      <c r="W163" s="58"/>
      <c r="X163" s="53"/>
    </row>
    <row r="164" spans="3:24" x14ac:dyDescent="0.25">
      <c r="C164" s="59"/>
      <c r="D164" s="53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3"/>
      <c r="V164" s="53"/>
      <c r="W164" s="58"/>
      <c r="X164" s="53"/>
    </row>
    <row r="165" spans="3:24" x14ac:dyDescent="0.25">
      <c r="C165" s="59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3"/>
      <c r="V165" s="53"/>
      <c r="W165" s="58"/>
      <c r="X165" s="53"/>
    </row>
    <row r="166" spans="3:24" x14ac:dyDescent="0.25">
      <c r="C166" s="59"/>
      <c r="D166" s="53"/>
      <c r="E166" s="54"/>
      <c r="F166" s="54"/>
      <c r="G166" s="54"/>
      <c r="H166" s="54"/>
      <c r="I166" s="54"/>
      <c r="J166" s="54"/>
      <c r="K166" s="54"/>
      <c r="L166" s="54">
        <v>3003000</v>
      </c>
      <c r="M166" s="54"/>
      <c r="N166" s="54"/>
      <c r="O166" s="54"/>
      <c r="P166" s="54"/>
      <c r="Q166" s="54"/>
      <c r="R166" s="54"/>
      <c r="S166" s="54"/>
      <c r="T166" s="54"/>
      <c r="U166" s="53"/>
      <c r="V166" s="53"/>
      <c r="W166" s="58"/>
      <c r="X166" s="53"/>
    </row>
    <row r="167" spans="3:24" x14ac:dyDescent="0.25">
      <c r="C167" s="68"/>
      <c r="D167" s="53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3"/>
      <c r="V167" s="53"/>
      <c r="W167" s="58"/>
      <c r="X167" s="53"/>
    </row>
    <row r="168" spans="3:24" x14ac:dyDescent="0.25">
      <c r="C168" s="68"/>
      <c r="D168" s="53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3"/>
      <c r="V168" s="53"/>
      <c r="W168" s="58"/>
      <c r="X168" s="53"/>
    </row>
    <row r="169" spans="3:24" x14ac:dyDescent="0.25">
      <c r="C169" s="68"/>
      <c r="D169" s="53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3"/>
      <c r="V169" s="53"/>
      <c r="W169" s="58"/>
      <c r="X169" s="53"/>
    </row>
    <row r="170" spans="3:24" x14ac:dyDescent="0.25">
      <c r="C170" s="68"/>
      <c r="D170" s="53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3"/>
      <c r="V170" s="53"/>
      <c r="W170" s="58"/>
      <c r="X170" s="53"/>
    </row>
    <row r="171" spans="3:24" x14ac:dyDescent="0.25">
      <c r="C171" s="59">
        <v>42614840</v>
      </c>
      <c r="D171" s="53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>
        <v>412608</v>
      </c>
      <c r="U171" s="53"/>
      <c r="V171" s="53"/>
      <c r="W171" s="58"/>
      <c r="X171" s="53"/>
    </row>
    <row r="172" spans="3:24" x14ac:dyDescent="0.25">
      <c r="C172" s="59">
        <v>9675182</v>
      </c>
      <c r="D172" s="53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>
        <v>1880000</v>
      </c>
      <c r="U172" s="53"/>
      <c r="V172" s="53"/>
      <c r="W172" s="58"/>
      <c r="X172" s="53"/>
    </row>
    <row r="173" spans="3:24" x14ac:dyDescent="0.25">
      <c r="C173" s="59">
        <v>17903600</v>
      </c>
      <c r="D173" s="53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3"/>
      <c r="V173" s="53"/>
      <c r="W173" s="58"/>
      <c r="X173" s="53"/>
    </row>
    <row r="174" spans="3:24" x14ac:dyDescent="0.25">
      <c r="C174" s="59">
        <f>SUM(C171:C173)</f>
        <v>70193622</v>
      </c>
      <c r="D174" s="53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3"/>
      <c r="V174" s="53"/>
      <c r="W174" s="58"/>
      <c r="X174" s="53"/>
    </row>
    <row r="175" spans="3:24" x14ac:dyDescent="0.25">
      <c r="C175" s="59">
        <v>400000</v>
      </c>
      <c r="D175" s="53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3"/>
      <c r="V175" s="53"/>
      <c r="W175" s="58"/>
      <c r="X175" s="53"/>
    </row>
    <row r="176" spans="3:24" x14ac:dyDescent="0.25">
      <c r="C176" s="59">
        <f>+C174+C175</f>
        <v>70593622</v>
      </c>
      <c r="D176" s="53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3"/>
      <c r="V176" s="53"/>
      <c r="W176" s="58"/>
      <c r="X176" s="53"/>
    </row>
    <row r="179" spans="3:3" x14ac:dyDescent="0.25">
      <c r="C179" s="52">
        <v>64000000</v>
      </c>
    </row>
    <row r="180" spans="3:3" x14ac:dyDescent="0.25">
      <c r="C180" s="52">
        <v>11000000</v>
      </c>
    </row>
    <row r="181" spans="3:3" x14ac:dyDescent="0.25">
      <c r="C181" s="52">
        <f>+C179+C180</f>
        <v>75000000</v>
      </c>
    </row>
    <row r="185" spans="3:3" x14ac:dyDescent="0.25">
      <c r="C185" s="52">
        <v>2745000</v>
      </c>
    </row>
    <row r="186" spans="3:3" x14ac:dyDescent="0.25">
      <c r="C186" s="52">
        <v>3185000</v>
      </c>
    </row>
    <row r="187" spans="3:3" x14ac:dyDescent="0.25">
      <c r="C187" s="52">
        <v>1080000</v>
      </c>
    </row>
    <row r="188" spans="3:3" x14ac:dyDescent="0.25">
      <c r="C188" s="52">
        <v>4850100</v>
      </c>
    </row>
    <row r="189" spans="3:3" x14ac:dyDescent="0.25">
      <c r="C189" s="52">
        <v>5027500</v>
      </c>
    </row>
    <row r="190" spans="3:3" x14ac:dyDescent="0.25">
      <c r="C190" s="52">
        <v>4566000</v>
      </c>
    </row>
    <row r="191" spans="3:3" x14ac:dyDescent="0.25">
      <c r="C191" s="52">
        <v>1050000</v>
      </c>
    </row>
    <row r="192" spans="3:3" x14ac:dyDescent="0.25">
      <c r="C192" s="52">
        <v>3877333</v>
      </c>
    </row>
    <row r="193" spans="3:3" x14ac:dyDescent="0.25">
      <c r="C193" s="52">
        <v>6732440</v>
      </c>
    </row>
    <row r="194" spans="3:3" x14ac:dyDescent="0.25">
      <c r="C194" s="52">
        <v>3460000</v>
      </c>
    </row>
    <row r="195" spans="3:3" x14ac:dyDescent="0.25">
      <c r="C195" s="52">
        <v>588800</v>
      </c>
    </row>
    <row r="196" spans="3:3" x14ac:dyDescent="0.25">
      <c r="C196" s="52">
        <v>1868000</v>
      </c>
    </row>
    <row r="197" spans="3:3" x14ac:dyDescent="0.25">
      <c r="C197" s="52">
        <v>10313000</v>
      </c>
    </row>
    <row r="198" spans="3:3" x14ac:dyDescent="0.25">
      <c r="C198" s="52">
        <v>3443800</v>
      </c>
    </row>
    <row r="199" spans="3:3" x14ac:dyDescent="0.25">
      <c r="C199" s="52">
        <v>8136400</v>
      </c>
    </row>
    <row r="200" spans="3:3" x14ac:dyDescent="0.25">
      <c r="C200" s="52">
        <v>9675183</v>
      </c>
    </row>
    <row r="201" spans="3:3" x14ac:dyDescent="0.25">
      <c r="C201" s="52">
        <f>SUM(C185:C200)</f>
        <v>70598556</v>
      </c>
    </row>
  </sheetData>
  <mergeCells count="7">
    <mergeCell ref="D144:X144"/>
    <mergeCell ref="C1:U1"/>
    <mergeCell ref="E2:K2"/>
    <mergeCell ref="L2:T2"/>
    <mergeCell ref="A3:A46"/>
    <mergeCell ref="A47:A108"/>
    <mergeCell ref="E143:Q14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A788-C30A-400D-B590-A1D5A595596F}">
  <dimension ref="A1:AB208"/>
  <sheetViews>
    <sheetView workbookViewId="0">
      <selection activeCell="K13" sqref="K13"/>
    </sheetView>
  </sheetViews>
  <sheetFormatPr baseColWidth="10" defaultRowHeight="12" x14ac:dyDescent="0.25"/>
  <cols>
    <col min="1" max="1" width="10.42578125" style="10" customWidth="1"/>
    <col min="2" max="2" width="4.85546875" style="10" customWidth="1"/>
    <col min="3" max="3" width="32.7109375" style="24" customWidth="1"/>
    <col min="4" max="4" width="8.5703125" style="10" customWidth="1"/>
    <col min="5" max="5" width="10.85546875" style="27" customWidth="1"/>
    <col min="6" max="6" width="4.42578125" style="27" customWidth="1"/>
    <col min="7" max="7" width="13" style="27" customWidth="1"/>
    <col min="8" max="8" width="11.28515625" style="27" bestFit="1" customWidth="1"/>
    <col min="9" max="10" width="12.28515625" style="27" bestFit="1" customWidth="1"/>
    <col min="11" max="11" width="13.28515625" style="27" bestFit="1" customWidth="1"/>
    <col min="12" max="13" width="12.28515625" style="27" bestFit="1" customWidth="1"/>
    <col min="14" max="14" width="9.85546875" style="27" bestFit="1" customWidth="1"/>
    <col min="15" max="16" width="11.28515625" style="27" bestFit="1" customWidth="1"/>
    <col min="17" max="17" width="12.28515625" style="27" bestFit="1" customWidth="1"/>
    <col min="18" max="18" width="11.28515625" style="27" bestFit="1" customWidth="1"/>
    <col min="19" max="20" width="12.28515625" style="27" bestFit="1" customWidth="1"/>
    <col min="21" max="21" width="13.42578125" style="10" customWidth="1"/>
    <col min="22" max="22" width="4.42578125" style="10" customWidth="1"/>
    <col min="23" max="23" width="7.28515625" style="28" customWidth="1"/>
    <col min="24" max="24" width="14.28515625" style="10" customWidth="1"/>
    <col min="25" max="246" width="11.42578125" style="10"/>
    <col min="247" max="247" width="10.5703125" style="10" customWidth="1"/>
    <col min="248" max="248" width="4.85546875" style="10" customWidth="1"/>
    <col min="249" max="249" width="32.42578125" style="10" customWidth="1"/>
    <col min="250" max="250" width="9.85546875" style="10" customWidth="1"/>
    <col min="251" max="251" width="10.140625" style="10" customWidth="1"/>
    <col min="252" max="252" width="12.28515625" style="10" customWidth="1"/>
    <col min="253" max="253" width="15.42578125" style="10" customWidth="1"/>
    <col min="254" max="254" width="11.85546875" style="10" customWidth="1"/>
    <col min="255" max="255" width="13.28515625" style="10" customWidth="1"/>
    <col min="256" max="256" width="15.28515625" style="10" customWidth="1"/>
    <col min="257" max="257" width="11.85546875" style="10" customWidth="1"/>
    <col min="258" max="258" width="6.140625" style="10" customWidth="1"/>
    <col min="259" max="259" width="11.85546875" style="10" customWidth="1"/>
    <col min="260" max="260" width="9.42578125" style="10" customWidth="1"/>
    <col min="261" max="261" width="14.7109375" style="10" customWidth="1"/>
    <col min="262" max="262" width="11.5703125" style="10" customWidth="1"/>
    <col min="263" max="263" width="0.42578125" style="10" customWidth="1"/>
    <col min="264" max="264" width="10.5703125" style="10" bestFit="1" customWidth="1"/>
    <col min="265" max="265" width="12.28515625" style="10" customWidth="1"/>
    <col min="266" max="266" width="12.5703125" style="10" customWidth="1"/>
    <col min="267" max="267" width="10.5703125" style="10" customWidth="1"/>
    <col min="268" max="268" width="10.140625" style="10" customWidth="1"/>
    <col min="269" max="269" width="8.42578125" style="10" customWidth="1"/>
    <col min="270" max="270" width="18.85546875" style="10" customWidth="1"/>
    <col min="271" max="271" width="10.28515625" style="10" customWidth="1"/>
    <col min="272" max="272" width="11.42578125" style="10"/>
    <col min="273" max="273" width="12.140625" style="10" customWidth="1"/>
    <col min="274" max="274" width="10.5703125" style="10" customWidth="1"/>
    <col min="275" max="275" width="12.42578125" style="10" customWidth="1"/>
    <col min="276" max="276" width="15.140625" style="10" customWidth="1"/>
    <col min="277" max="277" width="13.5703125" style="10" customWidth="1"/>
    <col min="278" max="278" width="13.140625" style="10" customWidth="1"/>
    <col min="279" max="279" width="15.7109375" style="10" customWidth="1"/>
    <col min="280" max="280" width="37.5703125" style="10" customWidth="1"/>
    <col min="281" max="502" width="11.42578125" style="10"/>
    <col min="503" max="503" width="10.5703125" style="10" customWidth="1"/>
    <col min="504" max="504" width="4.85546875" style="10" customWidth="1"/>
    <col min="505" max="505" width="32.42578125" style="10" customWidth="1"/>
    <col min="506" max="506" width="9.85546875" style="10" customWidth="1"/>
    <col min="507" max="507" width="10.140625" style="10" customWidth="1"/>
    <col min="508" max="508" width="12.28515625" style="10" customWidth="1"/>
    <col min="509" max="509" width="15.42578125" style="10" customWidth="1"/>
    <col min="510" max="510" width="11.85546875" style="10" customWidth="1"/>
    <col min="511" max="511" width="13.28515625" style="10" customWidth="1"/>
    <col min="512" max="512" width="15.28515625" style="10" customWidth="1"/>
    <col min="513" max="513" width="11.85546875" style="10" customWidth="1"/>
    <col min="514" max="514" width="6.140625" style="10" customWidth="1"/>
    <col min="515" max="515" width="11.85546875" style="10" customWidth="1"/>
    <col min="516" max="516" width="9.42578125" style="10" customWidth="1"/>
    <col min="517" max="517" width="14.7109375" style="10" customWidth="1"/>
    <col min="518" max="518" width="11.5703125" style="10" customWidth="1"/>
    <col min="519" max="519" width="0.42578125" style="10" customWidth="1"/>
    <col min="520" max="520" width="10.5703125" style="10" bestFit="1" customWidth="1"/>
    <col min="521" max="521" width="12.28515625" style="10" customWidth="1"/>
    <col min="522" max="522" width="12.5703125" style="10" customWidth="1"/>
    <col min="523" max="523" width="10.5703125" style="10" customWidth="1"/>
    <col min="524" max="524" width="10.140625" style="10" customWidth="1"/>
    <col min="525" max="525" width="8.42578125" style="10" customWidth="1"/>
    <col min="526" max="526" width="18.85546875" style="10" customWidth="1"/>
    <col min="527" max="527" width="10.28515625" style="10" customWidth="1"/>
    <col min="528" max="528" width="11.42578125" style="10"/>
    <col min="529" max="529" width="12.140625" style="10" customWidth="1"/>
    <col min="530" max="530" width="10.5703125" style="10" customWidth="1"/>
    <col min="531" max="531" width="12.42578125" style="10" customWidth="1"/>
    <col min="532" max="532" width="15.140625" style="10" customWidth="1"/>
    <col min="533" max="533" width="13.5703125" style="10" customWidth="1"/>
    <col min="534" max="534" width="13.140625" style="10" customWidth="1"/>
    <col min="535" max="535" width="15.7109375" style="10" customWidth="1"/>
    <col min="536" max="536" width="37.5703125" style="10" customWidth="1"/>
    <col min="537" max="758" width="11.42578125" style="10"/>
    <col min="759" max="759" width="10.5703125" style="10" customWidth="1"/>
    <col min="760" max="760" width="4.85546875" style="10" customWidth="1"/>
    <col min="761" max="761" width="32.42578125" style="10" customWidth="1"/>
    <col min="762" max="762" width="9.85546875" style="10" customWidth="1"/>
    <col min="763" max="763" width="10.140625" style="10" customWidth="1"/>
    <col min="764" max="764" width="12.28515625" style="10" customWidth="1"/>
    <col min="765" max="765" width="15.42578125" style="10" customWidth="1"/>
    <col min="766" max="766" width="11.85546875" style="10" customWidth="1"/>
    <col min="767" max="767" width="13.28515625" style="10" customWidth="1"/>
    <col min="768" max="768" width="15.28515625" style="10" customWidth="1"/>
    <col min="769" max="769" width="11.85546875" style="10" customWidth="1"/>
    <col min="770" max="770" width="6.140625" style="10" customWidth="1"/>
    <col min="771" max="771" width="11.85546875" style="10" customWidth="1"/>
    <col min="772" max="772" width="9.42578125" style="10" customWidth="1"/>
    <col min="773" max="773" width="14.7109375" style="10" customWidth="1"/>
    <col min="774" max="774" width="11.5703125" style="10" customWidth="1"/>
    <col min="775" max="775" width="0.42578125" style="10" customWidth="1"/>
    <col min="776" max="776" width="10.5703125" style="10" bestFit="1" customWidth="1"/>
    <col min="777" max="777" width="12.28515625" style="10" customWidth="1"/>
    <col min="778" max="778" width="12.5703125" style="10" customWidth="1"/>
    <col min="779" max="779" width="10.5703125" style="10" customWidth="1"/>
    <col min="780" max="780" width="10.140625" style="10" customWidth="1"/>
    <col min="781" max="781" width="8.42578125" style="10" customWidth="1"/>
    <col min="782" max="782" width="18.85546875" style="10" customWidth="1"/>
    <col min="783" max="783" width="10.28515625" style="10" customWidth="1"/>
    <col min="784" max="784" width="11.42578125" style="10"/>
    <col min="785" max="785" width="12.140625" style="10" customWidth="1"/>
    <col min="786" max="786" width="10.5703125" style="10" customWidth="1"/>
    <col min="787" max="787" width="12.42578125" style="10" customWidth="1"/>
    <col min="788" max="788" width="15.140625" style="10" customWidth="1"/>
    <col min="789" max="789" width="13.5703125" style="10" customWidth="1"/>
    <col min="790" max="790" width="13.140625" style="10" customWidth="1"/>
    <col min="791" max="791" width="15.7109375" style="10" customWidth="1"/>
    <col min="792" max="792" width="37.5703125" style="10" customWidth="1"/>
    <col min="793" max="1014" width="11.42578125" style="10"/>
    <col min="1015" max="1015" width="10.5703125" style="10" customWidth="1"/>
    <col min="1016" max="1016" width="4.85546875" style="10" customWidth="1"/>
    <col min="1017" max="1017" width="32.42578125" style="10" customWidth="1"/>
    <col min="1018" max="1018" width="9.85546875" style="10" customWidth="1"/>
    <col min="1019" max="1019" width="10.140625" style="10" customWidth="1"/>
    <col min="1020" max="1020" width="12.28515625" style="10" customWidth="1"/>
    <col min="1021" max="1021" width="15.42578125" style="10" customWidth="1"/>
    <col min="1022" max="1022" width="11.85546875" style="10" customWidth="1"/>
    <col min="1023" max="1023" width="13.28515625" style="10" customWidth="1"/>
    <col min="1024" max="1024" width="15.28515625" style="10" customWidth="1"/>
    <col min="1025" max="1025" width="11.85546875" style="10" customWidth="1"/>
    <col min="1026" max="1026" width="6.140625" style="10" customWidth="1"/>
    <col min="1027" max="1027" width="11.85546875" style="10" customWidth="1"/>
    <col min="1028" max="1028" width="9.42578125" style="10" customWidth="1"/>
    <col min="1029" max="1029" width="14.7109375" style="10" customWidth="1"/>
    <col min="1030" max="1030" width="11.5703125" style="10" customWidth="1"/>
    <col min="1031" max="1031" width="0.42578125" style="10" customWidth="1"/>
    <col min="1032" max="1032" width="10.5703125" style="10" bestFit="1" customWidth="1"/>
    <col min="1033" max="1033" width="12.28515625" style="10" customWidth="1"/>
    <col min="1034" max="1034" width="12.5703125" style="10" customWidth="1"/>
    <col min="1035" max="1035" width="10.5703125" style="10" customWidth="1"/>
    <col min="1036" max="1036" width="10.140625" style="10" customWidth="1"/>
    <col min="1037" max="1037" width="8.42578125" style="10" customWidth="1"/>
    <col min="1038" max="1038" width="18.85546875" style="10" customWidth="1"/>
    <col min="1039" max="1039" width="10.28515625" style="10" customWidth="1"/>
    <col min="1040" max="1040" width="11.42578125" style="10"/>
    <col min="1041" max="1041" width="12.140625" style="10" customWidth="1"/>
    <col min="1042" max="1042" width="10.5703125" style="10" customWidth="1"/>
    <col min="1043" max="1043" width="12.42578125" style="10" customWidth="1"/>
    <col min="1044" max="1044" width="15.140625" style="10" customWidth="1"/>
    <col min="1045" max="1045" width="13.5703125" style="10" customWidth="1"/>
    <col min="1046" max="1046" width="13.140625" style="10" customWidth="1"/>
    <col min="1047" max="1047" width="15.7109375" style="10" customWidth="1"/>
    <col min="1048" max="1048" width="37.5703125" style="10" customWidth="1"/>
    <col min="1049" max="1270" width="11.42578125" style="10"/>
    <col min="1271" max="1271" width="10.5703125" style="10" customWidth="1"/>
    <col min="1272" max="1272" width="4.85546875" style="10" customWidth="1"/>
    <col min="1273" max="1273" width="32.42578125" style="10" customWidth="1"/>
    <col min="1274" max="1274" width="9.85546875" style="10" customWidth="1"/>
    <col min="1275" max="1275" width="10.140625" style="10" customWidth="1"/>
    <col min="1276" max="1276" width="12.28515625" style="10" customWidth="1"/>
    <col min="1277" max="1277" width="15.42578125" style="10" customWidth="1"/>
    <col min="1278" max="1278" width="11.85546875" style="10" customWidth="1"/>
    <col min="1279" max="1279" width="13.28515625" style="10" customWidth="1"/>
    <col min="1280" max="1280" width="15.28515625" style="10" customWidth="1"/>
    <col min="1281" max="1281" width="11.85546875" style="10" customWidth="1"/>
    <col min="1282" max="1282" width="6.140625" style="10" customWidth="1"/>
    <col min="1283" max="1283" width="11.85546875" style="10" customWidth="1"/>
    <col min="1284" max="1284" width="9.42578125" style="10" customWidth="1"/>
    <col min="1285" max="1285" width="14.7109375" style="10" customWidth="1"/>
    <col min="1286" max="1286" width="11.5703125" style="10" customWidth="1"/>
    <col min="1287" max="1287" width="0.42578125" style="10" customWidth="1"/>
    <col min="1288" max="1288" width="10.5703125" style="10" bestFit="1" customWidth="1"/>
    <col min="1289" max="1289" width="12.28515625" style="10" customWidth="1"/>
    <col min="1290" max="1290" width="12.5703125" style="10" customWidth="1"/>
    <col min="1291" max="1291" width="10.5703125" style="10" customWidth="1"/>
    <col min="1292" max="1292" width="10.140625" style="10" customWidth="1"/>
    <col min="1293" max="1293" width="8.42578125" style="10" customWidth="1"/>
    <col min="1294" max="1294" width="18.85546875" style="10" customWidth="1"/>
    <col min="1295" max="1295" width="10.28515625" style="10" customWidth="1"/>
    <col min="1296" max="1296" width="11.42578125" style="10"/>
    <col min="1297" max="1297" width="12.140625" style="10" customWidth="1"/>
    <col min="1298" max="1298" width="10.5703125" style="10" customWidth="1"/>
    <col min="1299" max="1299" width="12.42578125" style="10" customWidth="1"/>
    <col min="1300" max="1300" width="15.140625" style="10" customWidth="1"/>
    <col min="1301" max="1301" width="13.5703125" style="10" customWidth="1"/>
    <col min="1302" max="1302" width="13.140625" style="10" customWidth="1"/>
    <col min="1303" max="1303" width="15.7109375" style="10" customWidth="1"/>
    <col min="1304" max="1304" width="37.5703125" style="10" customWidth="1"/>
    <col min="1305" max="1526" width="11.42578125" style="10"/>
    <col min="1527" max="1527" width="10.5703125" style="10" customWidth="1"/>
    <col min="1528" max="1528" width="4.85546875" style="10" customWidth="1"/>
    <col min="1529" max="1529" width="32.42578125" style="10" customWidth="1"/>
    <col min="1530" max="1530" width="9.85546875" style="10" customWidth="1"/>
    <col min="1531" max="1531" width="10.140625" style="10" customWidth="1"/>
    <col min="1532" max="1532" width="12.28515625" style="10" customWidth="1"/>
    <col min="1533" max="1533" width="15.42578125" style="10" customWidth="1"/>
    <col min="1534" max="1534" width="11.85546875" style="10" customWidth="1"/>
    <col min="1535" max="1535" width="13.28515625" style="10" customWidth="1"/>
    <col min="1536" max="1536" width="15.28515625" style="10" customWidth="1"/>
    <col min="1537" max="1537" width="11.85546875" style="10" customWidth="1"/>
    <col min="1538" max="1538" width="6.140625" style="10" customWidth="1"/>
    <col min="1539" max="1539" width="11.85546875" style="10" customWidth="1"/>
    <col min="1540" max="1540" width="9.42578125" style="10" customWidth="1"/>
    <col min="1541" max="1541" width="14.7109375" style="10" customWidth="1"/>
    <col min="1542" max="1542" width="11.5703125" style="10" customWidth="1"/>
    <col min="1543" max="1543" width="0.42578125" style="10" customWidth="1"/>
    <col min="1544" max="1544" width="10.5703125" style="10" bestFit="1" customWidth="1"/>
    <col min="1545" max="1545" width="12.28515625" style="10" customWidth="1"/>
    <col min="1546" max="1546" width="12.5703125" style="10" customWidth="1"/>
    <col min="1547" max="1547" width="10.5703125" style="10" customWidth="1"/>
    <col min="1548" max="1548" width="10.140625" style="10" customWidth="1"/>
    <col min="1549" max="1549" width="8.42578125" style="10" customWidth="1"/>
    <col min="1550" max="1550" width="18.85546875" style="10" customWidth="1"/>
    <col min="1551" max="1551" width="10.28515625" style="10" customWidth="1"/>
    <col min="1552" max="1552" width="11.42578125" style="10"/>
    <col min="1553" max="1553" width="12.140625" style="10" customWidth="1"/>
    <col min="1554" max="1554" width="10.5703125" style="10" customWidth="1"/>
    <col min="1555" max="1555" width="12.42578125" style="10" customWidth="1"/>
    <col min="1556" max="1556" width="15.140625" style="10" customWidth="1"/>
    <col min="1557" max="1557" width="13.5703125" style="10" customWidth="1"/>
    <col min="1558" max="1558" width="13.140625" style="10" customWidth="1"/>
    <col min="1559" max="1559" width="15.7109375" style="10" customWidth="1"/>
    <col min="1560" max="1560" width="37.5703125" style="10" customWidth="1"/>
    <col min="1561" max="1782" width="11.42578125" style="10"/>
    <col min="1783" max="1783" width="10.5703125" style="10" customWidth="1"/>
    <col min="1784" max="1784" width="4.85546875" style="10" customWidth="1"/>
    <col min="1785" max="1785" width="32.42578125" style="10" customWidth="1"/>
    <col min="1786" max="1786" width="9.85546875" style="10" customWidth="1"/>
    <col min="1787" max="1787" width="10.140625" style="10" customWidth="1"/>
    <col min="1788" max="1788" width="12.28515625" style="10" customWidth="1"/>
    <col min="1789" max="1789" width="15.42578125" style="10" customWidth="1"/>
    <col min="1790" max="1790" width="11.85546875" style="10" customWidth="1"/>
    <col min="1791" max="1791" width="13.28515625" style="10" customWidth="1"/>
    <col min="1792" max="1792" width="15.28515625" style="10" customWidth="1"/>
    <col min="1793" max="1793" width="11.85546875" style="10" customWidth="1"/>
    <col min="1794" max="1794" width="6.140625" style="10" customWidth="1"/>
    <col min="1795" max="1795" width="11.85546875" style="10" customWidth="1"/>
    <col min="1796" max="1796" width="9.42578125" style="10" customWidth="1"/>
    <col min="1797" max="1797" width="14.7109375" style="10" customWidth="1"/>
    <col min="1798" max="1798" width="11.5703125" style="10" customWidth="1"/>
    <col min="1799" max="1799" width="0.42578125" style="10" customWidth="1"/>
    <col min="1800" max="1800" width="10.5703125" style="10" bestFit="1" customWidth="1"/>
    <col min="1801" max="1801" width="12.28515625" style="10" customWidth="1"/>
    <col min="1802" max="1802" width="12.5703125" style="10" customWidth="1"/>
    <col min="1803" max="1803" width="10.5703125" style="10" customWidth="1"/>
    <col min="1804" max="1804" width="10.140625" style="10" customWidth="1"/>
    <col min="1805" max="1805" width="8.42578125" style="10" customWidth="1"/>
    <col min="1806" max="1806" width="18.85546875" style="10" customWidth="1"/>
    <col min="1807" max="1807" width="10.28515625" style="10" customWidth="1"/>
    <col min="1808" max="1808" width="11.42578125" style="10"/>
    <col min="1809" max="1809" width="12.140625" style="10" customWidth="1"/>
    <col min="1810" max="1810" width="10.5703125" style="10" customWidth="1"/>
    <col min="1811" max="1811" width="12.42578125" style="10" customWidth="1"/>
    <col min="1812" max="1812" width="15.140625" style="10" customWidth="1"/>
    <col min="1813" max="1813" width="13.5703125" style="10" customWidth="1"/>
    <col min="1814" max="1814" width="13.140625" style="10" customWidth="1"/>
    <col min="1815" max="1815" width="15.7109375" style="10" customWidth="1"/>
    <col min="1816" max="1816" width="37.5703125" style="10" customWidth="1"/>
    <col min="1817" max="2038" width="11.42578125" style="10"/>
    <col min="2039" max="2039" width="10.5703125" style="10" customWidth="1"/>
    <col min="2040" max="2040" width="4.85546875" style="10" customWidth="1"/>
    <col min="2041" max="2041" width="32.42578125" style="10" customWidth="1"/>
    <col min="2042" max="2042" width="9.85546875" style="10" customWidth="1"/>
    <col min="2043" max="2043" width="10.140625" style="10" customWidth="1"/>
    <col min="2044" max="2044" width="12.28515625" style="10" customWidth="1"/>
    <col min="2045" max="2045" width="15.42578125" style="10" customWidth="1"/>
    <col min="2046" max="2046" width="11.85546875" style="10" customWidth="1"/>
    <col min="2047" max="2047" width="13.28515625" style="10" customWidth="1"/>
    <col min="2048" max="2048" width="15.28515625" style="10" customWidth="1"/>
    <col min="2049" max="2049" width="11.85546875" style="10" customWidth="1"/>
    <col min="2050" max="2050" width="6.140625" style="10" customWidth="1"/>
    <col min="2051" max="2051" width="11.85546875" style="10" customWidth="1"/>
    <col min="2052" max="2052" width="9.42578125" style="10" customWidth="1"/>
    <col min="2053" max="2053" width="14.7109375" style="10" customWidth="1"/>
    <col min="2054" max="2054" width="11.5703125" style="10" customWidth="1"/>
    <col min="2055" max="2055" width="0.42578125" style="10" customWidth="1"/>
    <col min="2056" max="2056" width="10.5703125" style="10" bestFit="1" customWidth="1"/>
    <col min="2057" max="2057" width="12.28515625" style="10" customWidth="1"/>
    <col min="2058" max="2058" width="12.5703125" style="10" customWidth="1"/>
    <col min="2059" max="2059" width="10.5703125" style="10" customWidth="1"/>
    <col min="2060" max="2060" width="10.140625" style="10" customWidth="1"/>
    <col min="2061" max="2061" width="8.42578125" style="10" customWidth="1"/>
    <col min="2062" max="2062" width="18.85546875" style="10" customWidth="1"/>
    <col min="2063" max="2063" width="10.28515625" style="10" customWidth="1"/>
    <col min="2064" max="2064" width="11.42578125" style="10"/>
    <col min="2065" max="2065" width="12.140625" style="10" customWidth="1"/>
    <col min="2066" max="2066" width="10.5703125" style="10" customWidth="1"/>
    <col min="2067" max="2067" width="12.42578125" style="10" customWidth="1"/>
    <col min="2068" max="2068" width="15.140625" style="10" customWidth="1"/>
    <col min="2069" max="2069" width="13.5703125" style="10" customWidth="1"/>
    <col min="2070" max="2070" width="13.140625" style="10" customWidth="1"/>
    <col min="2071" max="2071" width="15.7109375" style="10" customWidth="1"/>
    <col min="2072" max="2072" width="37.5703125" style="10" customWidth="1"/>
    <col min="2073" max="2294" width="11.42578125" style="10"/>
    <col min="2295" max="2295" width="10.5703125" style="10" customWidth="1"/>
    <col min="2296" max="2296" width="4.85546875" style="10" customWidth="1"/>
    <col min="2297" max="2297" width="32.42578125" style="10" customWidth="1"/>
    <col min="2298" max="2298" width="9.85546875" style="10" customWidth="1"/>
    <col min="2299" max="2299" width="10.140625" style="10" customWidth="1"/>
    <col min="2300" max="2300" width="12.28515625" style="10" customWidth="1"/>
    <col min="2301" max="2301" width="15.42578125" style="10" customWidth="1"/>
    <col min="2302" max="2302" width="11.85546875" style="10" customWidth="1"/>
    <col min="2303" max="2303" width="13.28515625" style="10" customWidth="1"/>
    <col min="2304" max="2304" width="15.28515625" style="10" customWidth="1"/>
    <col min="2305" max="2305" width="11.85546875" style="10" customWidth="1"/>
    <col min="2306" max="2306" width="6.140625" style="10" customWidth="1"/>
    <col min="2307" max="2307" width="11.85546875" style="10" customWidth="1"/>
    <col min="2308" max="2308" width="9.42578125" style="10" customWidth="1"/>
    <col min="2309" max="2309" width="14.7109375" style="10" customWidth="1"/>
    <col min="2310" max="2310" width="11.5703125" style="10" customWidth="1"/>
    <col min="2311" max="2311" width="0.42578125" style="10" customWidth="1"/>
    <col min="2312" max="2312" width="10.5703125" style="10" bestFit="1" customWidth="1"/>
    <col min="2313" max="2313" width="12.28515625" style="10" customWidth="1"/>
    <col min="2314" max="2314" width="12.5703125" style="10" customWidth="1"/>
    <col min="2315" max="2315" width="10.5703125" style="10" customWidth="1"/>
    <col min="2316" max="2316" width="10.140625" style="10" customWidth="1"/>
    <col min="2317" max="2317" width="8.42578125" style="10" customWidth="1"/>
    <col min="2318" max="2318" width="18.85546875" style="10" customWidth="1"/>
    <col min="2319" max="2319" width="10.28515625" style="10" customWidth="1"/>
    <col min="2320" max="2320" width="11.42578125" style="10"/>
    <col min="2321" max="2321" width="12.140625" style="10" customWidth="1"/>
    <col min="2322" max="2322" width="10.5703125" style="10" customWidth="1"/>
    <col min="2323" max="2323" width="12.42578125" style="10" customWidth="1"/>
    <col min="2324" max="2324" width="15.140625" style="10" customWidth="1"/>
    <col min="2325" max="2325" width="13.5703125" style="10" customWidth="1"/>
    <col min="2326" max="2326" width="13.140625" style="10" customWidth="1"/>
    <col min="2327" max="2327" width="15.7109375" style="10" customWidth="1"/>
    <col min="2328" max="2328" width="37.5703125" style="10" customWidth="1"/>
    <col min="2329" max="2550" width="11.42578125" style="10"/>
    <col min="2551" max="2551" width="10.5703125" style="10" customWidth="1"/>
    <col min="2552" max="2552" width="4.85546875" style="10" customWidth="1"/>
    <col min="2553" max="2553" width="32.42578125" style="10" customWidth="1"/>
    <col min="2554" max="2554" width="9.85546875" style="10" customWidth="1"/>
    <col min="2555" max="2555" width="10.140625" style="10" customWidth="1"/>
    <col min="2556" max="2556" width="12.28515625" style="10" customWidth="1"/>
    <col min="2557" max="2557" width="15.42578125" style="10" customWidth="1"/>
    <col min="2558" max="2558" width="11.85546875" style="10" customWidth="1"/>
    <col min="2559" max="2559" width="13.28515625" style="10" customWidth="1"/>
    <col min="2560" max="2560" width="15.28515625" style="10" customWidth="1"/>
    <col min="2561" max="2561" width="11.85546875" style="10" customWidth="1"/>
    <col min="2562" max="2562" width="6.140625" style="10" customWidth="1"/>
    <col min="2563" max="2563" width="11.85546875" style="10" customWidth="1"/>
    <col min="2564" max="2564" width="9.42578125" style="10" customWidth="1"/>
    <col min="2565" max="2565" width="14.7109375" style="10" customWidth="1"/>
    <col min="2566" max="2566" width="11.5703125" style="10" customWidth="1"/>
    <col min="2567" max="2567" width="0.42578125" style="10" customWidth="1"/>
    <col min="2568" max="2568" width="10.5703125" style="10" bestFit="1" customWidth="1"/>
    <col min="2569" max="2569" width="12.28515625" style="10" customWidth="1"/>
    <col min="2570" max="2570" width="12.5703125" style="10" customWidth="1"/>
    <col min="2571" max="2571" width="10.5703125" style="10" customWidth="1"/>
    <col min="2572" max="2572" width="10.140625" style="10" customWidth="1"/>
    <col min="2573" max="2573" width="8.42578125" style="10" customWidth="1"/>
    <col min="2574" max="2574" width="18.85546875" style="10" customWidth="1"/>
    <col min="2575" max="2575" width="10.28515625" style="10" customWidth="1"/>
    <col min="2576" max="2576" width="11.42578125" style="10"/>
    <col min="2577" max="2577" width="12.140625" style="10" customWidth="1"/>
    <col min="2578" max="2578" width="10.5703125" style="10" customWidth="1"/>
    <col min="2579" max="2579" width="12.42578125" style="10" customWidth="1"/>
    <col min="2580" max="2580" width="15.140625" style="10" customWidth="1"/>
    <col min="2581" max="2581" width="13.5703125" style="10" customWidth="1"/>
    <col min="2582" max="2582" width="13.140625" style="10" customWidth="1"/>
    <col min="2583" max="2583" width="15.7109375" style="10" customWidth="1"/>
    <col min="2584" max="2584" width="37.5703125" style="10" customWidth="1"/>
    <col min="2585" max="2806" width="11.42578125" style="10"/>
    <col min="2807" max="2807" width="10.5703125" style="10" customWidth="1"/>
    <col min="2808" max="2808" width="4.85546875" style="10" customWidth="1"/>
    <col min="2809" max="2809" width="32.42578125" style="10" customWidth="1"/>
    <col min="2810" max="2810" width="9.85546875" style="10" customWidth="1"/>
    <col min="2811" max="2811" width="10.140625" style="10" customWidth="1"/>
    <col min="2812" max="2812" width="12.28515625" style="10" customWidth="1"/>
    <col min="2813" max="2813" width="15.42578125" style="10" customWidth="1"/>
    <col min="2814" max="2814" width="11.85546875" style="10" customWidth="1"/>
    <col min="2815" max="2815" width="13.28515625" style="10" customWidth="1"/>
    <col min="2816" max="2816" width="15.28515625" style="10" customWidth="1"/>
    <col min="2817" max="2817" width="11.85546875" style="10" customWidth="1"/>
    <col min="2818" max="2818" width="6.140625" style="10" customWidth="1"/>
    <col min="2819" max="2819" width="11.85546875" style="10" customWidth="1"/>
    <col min="2820" max="2820" width="9.42578125" style="10" customWidth="1"/>
    <col min="2821" max="2821" width="14.7109375" style="10" customWidth="1"/>
    <col min="2822" max="2822" width="11.5703125" style="10" customWidth="1"/>
    <col min="2823" max="2823" width="0.42578125" style="10" customWidth="1"/>
    <col min="2824" max="2824" width="10.5703125" style="10" bestFit="1" customWidth="1"/>
    <col min="2825" max="2825" width="12.28515625" style="10" customWidth="1"/>
    <col min="2826" max="2826" width="12.5703125" style="10" customWidth="1"/>
    <col min="2827" max="2827" width="10.5703125" style="10" customWidth="1"/>
    <col min="2828" max="2828" width="10.140625" style="10" customWidth="1"/>
    <col min="2829" max="2829" width="8.42578125" style="10" customWidth="1"/>
    <col min="2830" max="2830" width="18.85546875" style="10" customWidth="1"/>
    <col min="2831" max="2831" width="10.28515625" style="10" customWidth="1"/>
    <col min="2832" max="2832" width="11.42578125" style="10"/>
    <col min="2833" max="2833" width="12.140625" style="10" customWidth="1"/>
    <col min="2834" max="2834" width="10.5703125" style="10" customWidth="1"/>
    <col min="2835" max="2835" width="12.42578125" style="10" customWidth="1"/>
    <col min="2836" max="2836" width="15.140625" style="10" customWidth="1"/>
    <col min="2837" max="2837" width="13.5703125" style="10" customWidth="1"/>
    <col min="2838" max="2838" width="13.140625" style="10" customWidth="1"/>
    <col min="2839" max="2839" width="15.7109375" style="10" customWidth="1"/>
    <col min="2840" max="2840" width="37.5703125" style="10" customWidth="1"/>
    <col min="2841" max="3062" width="11.42578125" style="10"/>
    <col min="3063" max="3063" width="10.5703125" style="10" customWidth="1"/>
    <col min="3064" max="3064" width="4.85546875" style="10" customWidth="1"/>
    <col min="3065" max="3065" width="32.42578125" style="10" customWidth="1"/>
    <col min="3066" max="3066" width="9.85546875" style="10" customWidth="1"/>
    <col min="3067" max="3067" width="10.140625" style="10" customWidth="1"/>
    <col min="3068" max="3068" width="12.28515625" style="10" customWidth="1"/>
    <col min="3069" max="3069" width="15.42578125" style="10" customWidth="1"/>
    <col min="3070" max="3070" width="11.85546875" style="10" customWidth="1"/>
    <col min="3071" max="3071" width="13.28515625" style="10" customWidth="1"/>
    <col min="3072" max="3072" width="15.28515625" style="10" customWidth="1"/>
    <col min="3073" max="3073" width="11.85546875" style="10" customWidth="1"/>
    <col min="3074" max="3074" width="6.140625" style="10" customWidth="1"/>
    <col min="3075" max="3075" width="11.85546875" style="10" customWidth="1"/>
    <col min="3076" max="3076" width="9.42578125" style="10" customWidth="1"/>
    <col min="3077" max="3077" width="14.7109375" style="10" customWidth="1"/>
    <col min="3078" max="3078" width="11.5703125" style="10" customWidth="1"/>
    <col min="3079" max="3079" width="0.42578125" style="10" customWidth="1"/>
    <col min="3080" max="3080" width="10.5703125" style="10" bestFit="1" customWidth="1"/>
    <col min="3081" max="3081" width="12.28515625" style="10" customWidth="1"/>
    <col min="3082" max="3082" width="12.5703125" style="10" customWidth="1"/>
    <col min="3083" max="3083" width="10.5703125" style="10" customWidth="1"/>
    <col min="3084" max="3084" width="10.140625" style="10" customWidth="1"/>
    <col min="3085" max="3085" width="8.42578125" style="10" customWidth="1"/>
    <col min="3086" max="3086" width="18.85546875" style="10" customWidth="1"/>
    <col min="3087" max="3087" width="10.28515625" style="10" customWidth="1"/>
    <col min="3088" max="3088" width="11.42578125" style="10"/>
    <col min="3089" max="3089" width="12.140625" style="10" customWidth="1"/>
    <col min="3090" max="3090" width="10.5703125" style="10" customWidth="1"/>
    <col min="3091" max="3091" width="12.42578125" style="10" customWidth="1"/>
    <col min="3092" max="3092" width="15.140625" style="10" customWidth="1"/>
    <col min="3093" max="3093" width="13.5703125" style="10" customWidth="1"/>
    <col min="3094" max="3094" width="13.140625" style="10" customWidth="1"/>
    <col min="3095" max="3095" width="15.7109375" style="10" customWidth="1"/>
    <col min="3096" max="3096" width="37.5703125" style="10" customWidth="1"/>
    <col min="3097" max="3318" width="11.42578125" style="10"/>
    <col min="3319" max="3319" width="10.5703125" style="10" customWidth="1"/>
    <col min="3320" max="3320" width="4.85546875" style="10" customWidth="1"/>
    <col min="3321" max="3321" width="32.42578125" style="10" customWidth="1"/>
    <col min="3322" max="3322" width="9.85546875" style="10" customWidth="1"/>
    <col min="3323" max="3323" width="10.140625" style="10" customWidth="1"/>
    <col min="3324" max="3324" width="12.28515625" style="10" customWidth="1"/>
    <col min="3325" max="3325" width="15.42578125" style="10" customWidth="1"/>
    <col min="3326" max="3326" width="11.85546875" style="10" customWidth="1"/>
    <col min="3327" max="3327" width="13.28515625" style="10" customWidth="1"/>
    <col min="3328" max="3328" width="15.28515625" style="10" customWidth="1"/>
    <col min="3329" max="3329" width="11.85546875" style="10" customWidth="1"/>
    <col min="3330" max="3330" width="6.140625" style="10" customWidth="1"/>
    <col min="3331" max="3331" width="11.85546875" style="10" customWidth="1"/>
    <col min="3332" max="3332" width="9.42578125" style="10" customWidth="1"/>
    <col min="3333" max="3333" width="14.7109375" style="10" customWidth="1"/>
    <col min="3334" max="3334" width="11.5703125" style="10" customWidth="1"/>
    <col min="3335" max="3335" width="0.42578125" style="10" customWidth="1"/>
    <col min="3336" max="3336" width="10.5703125" style="10" bestFit="1" customWidth="1"/>
    <col min="3337" max="3337" width="12.28515625" style="10" customWidth="1"/>
    <col min="3338" max="3338" width="12.5703125" style="10" customWidth="1"/>
    <col min="3339" max="3339" width="10.5703125" style="10" customWidth="1"/>
    <col min="3340" max="3340" width="10.140625" style="10" customWidth="1"/>
    <col min="3341" max="3341" width="8.42578125" style="10" customWidth="1"/>
    <col min="3342" max="3342" width="18.85546875" style="10" customWidth="1"/>
    <col min="3343" max="3343" width="10.28515625" style="10" customWidth="1"/>
    <col min="3344" max="3344" width="11.42578125" style="10"/>
    <col min="3345" max="3345" width="12.140625" style="10" customWidth="1"/>
    <col min="3346" max="3346" width="10.5703125" style="10" customWidth="1"/>
    <col min="3347" max="3347" width="12.42578125" style="10" customWidth="1"/>
    <col min="3348" max="3348" width="15.140625" style="10" customWidth="1"/>
    <col min="3349" max="3349" width="13.5703125" style="10" customWidth="1"/>
    <col min="3350" max="3350" width="13.140625" style="10" customWidth="1"/>
    <col min="3351" max="3351" width="15.7109375" style="10" customWidth="1"/>
    <col min="3352" max="3352" width="37.5703125" style="10" customWidth="1"/>
    <col min="3353" max="3574" width="11.42578125" style="10"/>
    <col min="3575" max="3575" width="10.5703125" style="10" customWidth="1"/>
    <col min="3576" max="3576" width="4.85546875" style="10" customWidth="1"/>
    <col min="3577" max="3577" width="32.42578125" style="10" customWidth="1"/>
    <col min="3578" max="3578" width="9.85546875" style="10" customWidth="1"/>
    <col min="3579" max="3579" width="10.140625" style="10" customWidth="1"/>
    <col min="3580" max="3580" width="12.28515625" style="10" customWidth="1"/>
    <col min="3581" max="3581" width="15.42578125" style="10" customWidth="1"/>
    <col min="3582" max="3582" width="11.85546875" style="10" customWidth="1"/>
    <col min="3583" max="3583" width="13.28515625" style="10" customWidth="1"/>
    <col min="3584" max="3584" width="15.28515625" style="10" customWidth="1"/>
    <col min="3585" max="3585" width="11.85546875" style="10" customWidth="1"/>
    <col min="3586" max="3586" width="6.140625" style="10" customWidth="1"/>
    <col min="3587" max="3587" width="11.85546875" style="10" customWidth="1"/>
    <col min="3588" max="3588" width="9.42578125" style="10" customWidth="1"/>
    <col min="3589" max="3589" width="14.7109375" style="10" customWidth="1"/>
    <col min="3590" max="3590" width="11.5703125" style="10" customWidth="1"/>
    <col min="3591" max="3591" width="0.42578125" style="10" customWidth="1"/>
    <col min="3592" max="3592" width="10.5703125" style="10" bestFit="1" customWidth="1"/>
    <col min="3593" max="3593" width="12.28515625" style="10" customWidth="1"/>
    <col min="3594" max="3594" width="12.5703125" style="10" customWidth="1"/>
    <col min="3595" max="3595" width="10.5703125" style="10" customWidth="1"/>
    <col min="3596" max="3596" width="10.140625" style="10" customWidth="1"/>
    <col min="3597" max="3597" width="8.42578125" style="10" customWidth="1"/>
    <col min="3598" max="3598" width="18.85546875" style="10" customWidth="1"/>
    <col min="3599" max="3599" width="10.28515625" style="10" customWidth="1"/>
    <col min="3600" max="3600" width="11.42578125" style="10"/>
    <col min="3601" max="3601" width="12.140625" style="10" customWidth="1"/>
    <col min="3602" max="3602" width="10.5703125" style="10" customWidth="1"/>
    <col min="3603" max="3603" width="12.42578125" style="10" customWidth="1"/>
    <col min="3604" max="3604" width="15.140625" style="10" customWidth="1"/>
    <col min="3605" max="3605" width="13.5703125" style="10" customWidth="1"/>
    <col min="3606" max="3606" width="13.140625" style="10" customWidth="1"/>
    <col min="3607" max="3607" width="15.7109375" style="10" customWidth="1"/>
    <col min="3608" max="3608" width="37.5703125" style="10" customWidth="1"/>
    <col min="3609" max="3830" width="11.42578125" style="10"/>
    <col min="3831" max="3831" width="10.5703125" style="10" customWidth="1"/>
    <col min="3832" max="3832" width="4.85546875" style="10" customWidth="1"/>
    <col min="3833" max="3833" width="32.42578125" style="10" customWidth="1"/>
    <col min="3834" max="3834" width="9.85546875" style="10" customWidth="1"/>
    <col min="3835" max="3835" width="10.140625" style="10" customWidth="1"/>
    <col min="3836" max="3836" width="12.28515625" style="10" customWidth="1"/>
    <col min="3837" max="3837" width="15.42578125" style="10" customWidth="1"/>
    <col min="3838" max="3838" width="11.85546875" style="10" customWidth="1"/>
    <col min="3839" max="3839" width="13.28515625" style="10" customWidth="1"/>
    <col min="3840" max="3840" width="15.28515625" style="10" customWidth="1"/>
    <col min="3841" max="3841" width="11.85546875" style="10" customWidth="1"/>
    <col min="3842" max="3842" width="6.140625" style="10" customWidth="1"/>
    <col min="3843" max="3843" width="11.85546875" style="10" customWidth="1"/>
    <col min="3844" max="3844" width="9.42578125" style="10" customWidth="1"/>
    <col min="3845" max="3845" width="14.7109375" style="10" customWidth="1"/>
    <col min="3846" max="3846" width="11.5703125" style="10" customWidth="1"/>
    <col min="3847" max="3847" width="0.42578125" style="10" customWidth="1"/>
    <col min="3848" max="3848" width="10.5703125" style="10" bestFit="1" customWidth="1"/>
    <col min="3849" max="3849" width="12.28515625" style="10" customWidth="1"/>
    <col min="3850" max="3850" width="12.5703125" style="10" customWidth="1"/>
    <col min="3851" max="3851" width="10.5703125" style="10" customWidth="1"/>
    <col min="3852" max="3852" width="10.140625" style="10" customWidth="1"/>
    <col min="3853" max="3853" width="8.42578125" style="10" customWidth="1"/>
    <col min="3854" max="3854" width="18.85546875" style="10" customWidth="1"/>
    <col min="3855" max="3855" width="10.28515625" style="10" customWidth="1"/>
    <col min="3856" max="3856" width="11.42578125" style="10"/>
    <col min="3857" max="3857" width="12.140625" style="10" customWidth="1"/>
    <col min="3858" max="3858" width="10.5703125" style="10" customWidth="1"/>
    <col min="3859" max="3859" width="12.42578125" style="10" customWidth="1"/>
    <col min="3860" max="3860" width="15.140625" style="10" customWidth="1"/>
    <col min="3861" max="3861" width="13.5703125" style="10" customWidth="1"/>
    <col min="3862" max="3862" width="13.140625" style="10" customWidth="1"/>
    <col min="3863" max="3863" width="15.7109375" style="10" customWidth="1"/>
    <col min="3864" max="3864" width="37.5703125" style="10" customWidth="1"/>
    <col min="3865" max="4086" width="11.42578125" style="10"/>
    <col min="4087" max="4087" width="10.5703125" style="10" customWidth="1"/>
    <col min="4088" max="4088" width="4.85546875" style="10" customWidth="1"/>
    <col min="4089" max="4089" width="32.42578125" style="10" customWidth="1"/>
    <col min="4090" max="4090" width="9.85546875" style="10" customWidth="1"/>
    <col min="4091" max="4091" width="10.140625" style="10" customWidth="1"/>
    <col min="4092" max="4092" width="12.28515625" style="10" customWidth="1"/>
    <col min="4093" max="4093" width="15.42578125" style="10" customWidth="1"/>
    <col min="4094" max="4094" width="11.85546875" style="10" customWidth="1"/>
    <col min="4095" max="4095" width="13.28515625" style="10" customWidth="1"/>
    <col min="4096" max="4096" width="15.28515625" style="10" customWidth="1"/>
    <col min="4097" max="4097" width="11.85546875" style="10" customWidth="1"/>
    <col min="4098" max="4098" width="6.140625" style="10" customWidth="1"/>
    <col min="4099" max="4099" width="11.85546875" style="10" customWidth="1"/>
    <col min="4100" max="4100" width="9.42578125" style="10" customWidth="1"/>
    <col min="4101" max="4101" width="14.7109375" style="10" customWidth="1"/>
    <col min="4102" max="4102" width="11.5703125" style="10" customWidth="1"/>
    <col min="4103" max="4103" width="0.42578125" style="10" customWidth="1"/>
    <col min="4104" max="4104" width="10.5703125" style="10" bestFit="1" customWidth="1"/>
    <col min="4105" max="4105" width="12.28515625" style="10" customWidth="1"/>
    <col min="4106" max="4106" width="12.5703125" style="10" customWidth="1"/>
    <col min="4107" max="4107" width="10.5703125" style="10" customWidth="1"/>
    <col min="4108" max="4108" width="10.140625" style="10" customWidth="1"/>
    <col min="4109" max="4109" width="8.42578125" style="10" customWidth="1"/>
    <col min="4110" max="4110" width="18.85546875" style="10" customWidth="1"/>
    <col min="4111" max="4111" width="10.28515625" style="10" customWidth="1"/>
    <col min="4112" max="4112" width="11.42578125" style="10"/>
    <col min="4113" max="4113" width="12.140625" style="10" customWidth="1"/>
    <col min="4114" max="4114" width="10.5703125" style="10" customWidth="1"/>
    <col min="4115" max="4115" width="12.42578125" style="10" customWidth="1"/>
    <col min="4116" max="4116" width="15.140625" style="10" customWidth="1"/>
    <col min="4117" max="4117" width="13.5703125" style="10" customWidth="1"/>
    <col min="4118" max="4118" width="13.140625" style="10" customWidth="1"/>
    <col min="4119" max="4119" width="15.7109375" style="10" customWidth="1"/>
    <col min="4120" max="4120" width="37.5703125" style="10" customWidth="1"/>
    <col min="4121" max="4342" width="11.42578125" style="10"/>
    <col min="4343" max="4343" width="10.5703125" style="10" customWidth="1"/>
    <col min="4344" max="4344" width="4.85546875" style="10" customWidth="1"/>
    <col min="4345" max="4345" width="32.42578125" style="10" customWidth="1"/>
    <col min="4346" max="4346" width="9.85546875" style="10" customWidth="1"/>
    <col min="4347" max="4347" width="10.140625" style="10" customWidth="1"/>
    <col min="4348" max="4348" width="12.28515625" style="10" customWidth="1"/>
    <col min="4349" max="4349" width="15.42578125" style="10" customWidth="1"/>
    <col min="4350" max="4350" width="11.85546875" style="10" customWidth="1"/>
    <col min="4351" max="4351" width="13.28515625" style="10" customWidth="1"/>
    <col min="4352" max="4352" width="15.28515625" style="10" customWidth="1"/>
    <col min="4353" max="4353" width="11.85546875" style="10" customWidth="1"/>
    <col min="4354" max="4354" width="6.140625" style="10" customWidth="1"/>
    <col min="4355" max="4355" width="11.85546875" style="10" customWidth="1"/>
    <col min="4356" max="4356" width="9.42578125" style="10" customWidth="1"/>
    <col min="4357" max="4357" width="14.7109375" style="10" customWidth="1"/>
    <col min="4358" max="4358" width="11.5703125" style="10" customWidth="1"/>
    <col min="4359" max="4359" width="0.42578125" style="10" customWidth="1"/>
    <col min="4360" max="4360" width="10.5703125" style="10" bestFit="1" customWidth="1"/>
    <col min="4361" max="4361" width="12.28515625" style="10" customWidth="1"/>
    <col min="4362" max="4362" width="12.5703125" style="10" customWidth="1"/>
    <col min="4363" max="4363" width="10.5703125" style="10" customWidth="1"/>
    <col min="4364" max="4364" width="10.140625" style="10" customWidth="1"/>
    <col min="4365" max="4365" width="8.42578125" style="10" customWidth="1"/>
    <col min="4366" max="4366" width="18.85546875" style="10" customWidth="1"/>
    <col min="4367" max="4367" width="10.28515625" style="10" customWidth="1"/>
    <col min="4368" max="4368" width="11.42578125" style="10"/>
    <col min="4369" max="4369" width="12.140625" style="10" customWidth="1"/>
    <col min="4370" max="4370" width="10.5703125" style="10" customWidth="1"/>
    <col min="4371" max="4371" width="12.42578125" style="10" customWidth="1"/>
    <col min="4372" max="4372" width="15.140625" style="10" customWidth="1"/>
    <col min="4373" max="4373" width="13.5703125" style="10" customWidth="1"/>
    <col min="4374" max="4374" width="13.140625" style="10" customWidth="1"/>
    <col min="4375" max="4375" width="15.7109375" style="10" customWidth="1"/>
    <col min="4376" max="4376" width="37.5703125" style="10" customWidth="1"/>
    <col min="4377" max="4598" width="11.42578125" style="10"/>
    <col min="4599" max="4599" width="10.5703125" style="10" customWidth="1"/>
    <col min="4600" max="4600" width="4.85546875" style="10" customWidth="1"/>
    <col min="4601" max="4601" width="32.42578125" style="10" customWidth="1"/>
    <col min="4602" max="4602" width="9.85546875" style="10" customWidth="1"/>
    <col min="4603" max="4603" width="10.140625" style="10" customWidth="1"/>
    <col min="4604" max="4604" width="12.28515625" style="10" customWidth="1"/>
    <col min="4605" max="4605" width="15.42578125" style="10" customWidth="1"/>
    <col min="4606" max="4606" width="11.85546875" style="10" customWidth="1"/>
    <col min="4607" max="4607" width="13.28515625" style="10" customWidth="1"/>
    <col min="4608" max="4608" width="15.28515625" style="10" customWidth="1"/>
    <col min="4609" max="4609" width="11.85546875" style="10" customWidth="1"/>
    <col min="4610" max="4610" width="6.140625" style="10" customWidth="1"/>
    <col min="4611" max="4611" width="11.85546875" style="10" customWidth="1"/>
    <col min="4612" max="4612" width="9.42578125" style="10" customWidth="1"/>
    <col min="4613" max="4613" width="14.7109375" style="10" customWidth="1"/>
    <col min="4614" max="4614" width="11.5703125" style="10" customWidth="1"/>
    <col min="4615" max="4615" width="0.42578125" style="10" customWidth="1"/>
    <col min="4616" max="4616" width="10.5703125" style="10" bestFit="1" customWidth="1"/>
    <col min="4617" max="4617" width="12.28515625" style="10" customWidth="1"/>
    <col min="4618" max="4618" width="12.5703125" style="10" customWidth="1"/>
    <col min="4619" max="4619" width="10.5703125" style="10" customWidth="1"/>
    <col min="4620" max="4620" width="10.140625" style="10" customWidth="1"/>
    <col min="4621" max="4621" width="8.42578125" style="10" customWidth="1"/>
    <col min="4622" max="4622" width="18.85546875" style="10" customWidth="1"/>
    <col min="4623" max="4623" width="10.28515625" style="10" customWidth="1"/>
    <col min="4624" max="4624" width="11.42578125" style="10"/>
    <col min="4625" max="4625" width="12.140625" style="10" customWidth="1"/>
    <col min="4626" max="4626" width="10.5703125" style="10" customWidth="1"/>
    <col min="4627" max="4627" width="12.42578125" style="10" customWidth="1"/>
    <col min="4628" max="4628" width="15.140625" style="10" customWidth="1"/>
    <col min="4629" max="4629" width="13.5703125" style="10" customWidth="1"/>
    <col min="4630" max="4630" width="13.140625" style="10" customWidth="1"/>
    <col min="4631" max="4631" width="15.7109375" style="10" customWidth="1"/>
    <col min="4632" max="4632" width="37.5703125" style="10" customWidth="1"/>
    <col min="4633" max="4854" width="11.42578125" style="10"/>
    <col min="4855" max="4855" width="10.5703125" style="10" customWidth="1"/>
    <col min="4856" max="4856" width="4.85546875" style="10" customWidth="1"/>
    <col min="4857" max="4857" width="32.42578125" style="10" customWidth="1"/>
    <col min="4858" max="4858" width="9.85546875" style="10" customWidth="1"/>
    <col min="4859" max="4859" width="10.140625" style="10" customWidth="1"/>
    <col min="4860" max="4860" width="12.28515625" style="10" customWidth="1"/>
    <col min="4861" max="4861" width="15.42578125" style="10" customWidth="1"/>
    <col min="4862" max="4862" width="11.85546875" style="10" customWidth="1"/>
    <col min="4863" max="4863" width="13.28515625" style="10" customWidth="1"/>
    <col min="4864" max="4864" width="15.28515625" style="10" customWidth="1"/>
    <col min="4865" max="4865" width="11.85546875" style="10" customWidth="1"/>
    <col min="4866" max="4866" width="6.140625" style="10" customWidth="1"/>
    <col min="4867" max="4867" width="11.85546875" style="10" customWidth="1"/>
    <col min="4868" max="4868" width="9.42578125" style="10" customWidth="1"/>
    <col min="4869" max="4869" width="14.7109375" style="10" customWidth="1"/>
    <col min="4870" max="4870" width="11.5703125" style="10" customWidth="1"/>
    <col min="4871" max="4871" width="0.42578125" style="10" customWidth="1"/>
    <col min="4872" max="4872" width="10.5703125" style="10" bestFit="1" customWidth="1"/>
    <col min="4873" max="4873" width="12.28515625" style="10" customWidth="1"/>
    <col min="4874" max="4874" width="12.5703125" style="10" customWidth="1"/>
    <col min="4875" max="4875" width="10.5703125" style="10" customWidth="1"/>
    <col min="4876" max="4876" width="10.140625" style="10" customWidth="1"/>
    <col min="4877" max="4877" width="8.42578125" style="10" customWidth="1"/>
    <col min="4878" max="4878" width="18.85546875" style="10" customWidth="1"/>
    <col min="4879" max="4879" width="10.28515625" style="10" customWidth="1"/>
    <col min="4880" max="4880" width="11.42578125" style="10"/>
    <col min="4881" max="4881" width="12.140625" style="10" customWidth="1"/>
    <col min="4882" max="4882" width="10.5703125" style="10" customWidth="1"/>
    <col min="4883" max="4883" width="12.42578125" style="10" customWidth="1"/>
    <col min="4884" max="4884" width="15.140625" style="10" customWidth="1"/>
    <col min="4885" max="4885" width="13.5703125" style="10" customWidth="1"/>
    <col min="4886" max="4886" width="13.140625" style="10" customWidth="1"/>
    <col min="4887" max="4887" width="15.7109375" style="10" customWidth="1"/>
    <col min="4888" max="4888" width="37.5703125" style="10" customWidth="1"/>
    <col min="4889" max="5110" width="11.42578125" style="10"/>
    <col min="5111" max="5111" width="10.5703125" style="10" customWidth="1"/>
    <col min="5112" max="5112" width="4.85546875" style="10" customWidth="1"/>
    <col min="5113" max="5113" width="32.42578125" style="10" customWidth="1"/>
    <col min="5114" max="5114" width="9.85546875" style="10" customWidth="1"/>
    <col min="5115" max="5115" width="10.140625" style="10" customWidth="1"/>
    <col min="5116" max="5116" width="12.28515625" style="10" customWidth="1"/>
    <col min="5117" max="5117" width="15.42578125" style="10" customWidth="1"/>
    <col min="5118" max="5118" width="11.85546875" style="10" customWidth="1"/>
    <col min="5119" max="5119" width="13.28515625" style="10" customWidth="1"/>
    <col min="5120" max="5120" width="15.28515625" style="10" customWidth="1"/>
    <col min="5121" max="5121" width="11.85546875" style="10" customWidth="1"/>
    <col min="5122" max="5122" width="6.140625" style="10" customWidth="1"/>
    <col min="5123" max="5123" width="11.85546875" style="10" customWidth="1"/>
    <col min="5124" max="5124" width="9.42578125" style="10" customWidth="1"/>
    <col min="5125" max="5125" width="14.7109375" style="10" customWidth="1"/>
    <col min="5126" max="5126" width="11.5703125" style="10" customWidth="1"/>
    <col min="5127" max="5127" width="0.42578125" style="10" customWidth="1"/>
    <col min="5128" max="5128" width="10.5703125" style="10" bestFit="1" customWidth="1"/>
    <col min="5129" max="5129" width="12.28515625" style="10" customWidth="1"/>
    <col min="5130" max="5130" width="12.5703125" style="10" customWidth="1"/>
    <col min="5131" max="5131" width="10.5703125" style="10" customWidth="1"/>
    <col min="5132" max="5132" width="10.140625" style="10" customWidth="1"/>
    <col min="5133" max="5133" width="8.42578125" style="10" customWidth="1"/>
    <col min="5134" max="5134" width="18.85546875" style="10" customWidth="1"/>
    <col min="5135" max="5135" width="10.28515625" style="10" customWidth="1"/>
    <col min="5136" max="5136" width="11.42578125" style="10"/>
    <col min="5137" max="5137" width="12.140625" style="10" customWidth="1"/>
    <col min="5138" max="5138" width="10.5703125" style="10" customWidth="1"/>
    <col min="5139" max="5139" width="12.42578125" style="10" customWidth="1"/>
    <col min="5140" max="5140" width="15.140625" style="10" customWidth="1"/>
    <col min="5141" max="5141" width="13.5703125" style="10" customWidth="1"/>
    <col min="5142" max="5142" width="13.140625" style="10" customWidth="1"/>
    <col min="5143" max="5143" width="15.7109375" style="10" customWidth="1"/>
    <col min="5144" max="5144" width="37.5703125" style="10" customWidth="1"/>
    <col min="5145" max="5366" width="11.42578125" style="10"/>
    <col min="5367" max="5367" width="10.5703125" style="10" customWidth="1"/>
    <col min="5368" max="5368" width="4.85546875" style="10" customWidth="1"/>
    <col min="5369" max="5369" width="32.42578125" style="10" customWidth="1"/>
    <col min="5370" max="5370" width="9.85546875" style="10" customWidth="1"/>
    <col min="5371" max="5371" width="10.140625" style="10" customWidth="1"/>
    <col min="5372" max="5372" width="12.28515625" style="10" customWidth="1"/>
    <col min="5373" max="5373" width="15.42578125" style="10" customWidth="1"/>
    <col min="5374" max="5374" width="11.85546875" style="10" customWidth="1"/>
    <col min="5375" max="5375" width="13.28515625" style="10" customWidth="1"/>
    <col min="5376" max="5376" width="15.28515625" style="10" customWidth="1"/>
    <col min="5377" max="5377" width="11.85546875" style="10" customWidth="1"/>
    <col min="5378" max="5378" width="6.140625" style="10" customWidth="1"/>
    <col min="5379" max="5379" width="11.85546875" style="10" customWidth="1"/>
    <col min="5380" max="5380" width="9.42578125" style="10" customWidth="1"/>
    <col min="5381" max="5381" width="14.7109375" style="10" customWidth="1"/>
    <col min="5382" max="5382" width="11.5703125" style="10" customWidth="1"/>
    <col min="5383" max="5383" width="0.42578125" style="10" customWidth="1"/>
    <col min="5384" max="5384" width="10.5703125" style="10" bestFit="1" customWidth="1"/>
    <col min="5385" max="5385" width="12.28515625" style="10" customWidth="1"/>
    <col min="5386" max="5386" width="12.5703125" style="10" customWidth="1"/>
    <col min="5387" max="5387" width="10.5703125" style="10" customWidth="1"/>
    <col min="5388" max="5388" width="10.140625" style="10" customWidth="1"/>
    <col min="5389" max="5389" width="8.42578125" style="10" customWidth="1"/>
    <col min="5390" max="5390" width="18.85546875" style="10" customWidth="1"/>
    <col min="5391" max="5391" width="10.28515625" style="10" customWidth="1"/>
    <col min="5392" max="5392" width="11.42578125" style="10"/>
    <col min="5393" max="5393" width="12.140625" style="10" customWidth="1"/>
    <col min="5394" max="5394" width="10.5703125" style="10" customWidth="1"/>
    <col min="5395" max="5395" width="12.42578125" style="10" customWidth="1"/>
    <col min="5396" max="5396" width="15.140625" style="10" customWidth="1"/>
    <col min="5397" max="5397" width="13.5703125" style="10" customWidth="1"/>
    <col min="5398" max="5398" width="13.140625" style="10" customWidth="1"/>
    <col min="5399" max="5399" width="15.7109375" style="10" customWidth="1"/>
    <col min="5400" max="5400" width="37.5703125" style="10" customWidth="1"/>
    <col min="5401" max="5622" width="11.42578125" style="10"/>
    <col min="5623" max="5623" width="10.5703125" style="10" customWidth="1"/>
    <col min="5624" max="5624" width="4.85546875" style="10" customWidth="1"/>
    <col min="5625" max="5625" width="32.42578125" style="10" customWidth="1"/>
    <col min="5626" max="5626" width="9.85546875" style="10" customWidth="1"/>
    <col min="5627" max="5627" width="10.140625" style="10" customWidth="1"/>
    <col min="5628" max="5628" width="12.28515625" style="10" customWidth="1"/>
    <col min="5629" max="5629" width="15.42578125" style="10" customWidth="1"/>
    <col min="5630" max="5630" width="11.85546875" style="10" customWidth="1"/>
    <col min="5631" max="5631" width="13.28515625" style="10" customWidth="1"/>
    <col min="5632" max="5632" width="15.28515625" style="10" customWidth="1"/>
    <col min="5633" max="5633" width="11.85546875" style="10" customWidth="1"/>
    <col min="5634" max="5634" width="6.140625" style="10" customWidth="1"/>
    <col min="5635" max="5635" width="11.85546875" style="10" customWidth="1"/>
    <col min="5636" max="5636" width="9.42578125" style="10" customWidth="1"/>
    <col min="5637" max="5637" width="14.7109375" style="10" customWidth="1"/>
    <col min="5638" max="5638" width="11.5703125" style="10" customWidth="1"/>
    <col min="5639" max="5639" width="0.42578125" style="10" customWidth="1"/>
    <col min="5640" max="5640" width="10.5703125" style="10" bestFit="1" customWidth="1"/>
    <col min="5641" max="5641" width="12.28515625" style="10" customWidth="1"/>
    <col min="5642" max="5642" width="12.5703125" style="10" customWidth="1"/>
    <col min="5643" max="5643" width="10.5703125" style="10" customWidth="1"/>
    <col min="5644" max="5644" width="10.140625" style="10" customWidth="1"/>
    <col min="5645" max="5645" width="8.42578125" style="10" customWidth="1"/>
    <col min="5646" max="5646" width="18.85546875" style="10" customWidth="1"/>
    <col min="5647" max="5647" width="10.28515625" style="10" customWidth="1"/>
    <col min="5648" max="5648" width="11.42578125" style="10"/>
    <col min="5649" max="5649" width="12.140625" style="10" customWidth="1"/>
    <col min="5650" max="5650" width="10.5703125" style="10" customWidth="1"/>
    <col min="5651" max="5651" width="12.42578125" style="10" customWidth="1"/>
    <col min="5652" max="5652" width="15.140625" style="10" customWidth="1"/>
    <col min="5653" max="5653" width="13.5703125" style="10" customWidth="1"/>
    <col min="5654" max="5654" width="13.140625" style="10" customWidth="1"/>
    <col min="5655" max="5655" width="15.7109375" style="10" customWidth="1"/>
    <col min="5656" max="5656" width="37.5703125" style="10" customWidth="1"/>
    <col min="5657" max="5878" width="11.42578125" style="10"/>
    <col min="5879" max="5879" width="10.5703125" style="10" customWidth="1"/>
    <col min="5880" max="5880" width="4.85546875" style="10" customWidth="1"/>
    <col min="5881" max="5881" width="32.42578125" style="10" customWidth="1"/>
    <col min="5882" max="5882" width="9.85546875" style="10" customWidth="1"/>
    <col min="5883" max="5883" width="10.140625" style="10" customWidth="1"/>
    <col min="5884" max="5884" width="12.28515625" style="10" customWidth="1"/>
    <col min="5885" max="5885" width="15.42578125" style="10" customWidth="1"/>
    <col min="5886" max="5886" width="11.85546875" style="10" customWidth="1"/>
    <col min="5887" max="5887" width="13.28515625" style="10" customWidth="1"/>
    <col min="5888" max="5888" width="15.28515625" style="10" customWidth="1"/>
    <col min="5889" max="5889" width="11.85546875" style="10" customWidth="1"/>
    <col min="5890" max="5890" width="6.140625" style="10" customWidth="1"/>
    <col min="5891" max="5891" width="11.85546875" style="10" customWidth="1"/>
    <col min="5892" max="5892" width="9.42578125" style="10" customWidth="1"/>
    <col min="5893" max="5893" width="14.7109375" style="10" customWidth="1"/>
    <col min="5894" max="5894" width="11.5703125" style="10" customWidth="1"/>
    <col min="5895" max="5895" width="0.42578125" style="10" customWidth="1"/>
    <col min="5896" max="5896" width="10.5703125" style="10" bestFit="1" customWidth="1"/>
    <col min="5897" max="5897" width="12.28515625" style="10" customWidth="1"/>
    <col min="5898" max="5898" width="12.5703125" style="10" customWidth="1"/>
    <col min="5899" max="5899" width="10.5703125" style="10" customWidth="1"/>
    <col min="5900" max="5900" width="10.140625" style="10" customWidth="1"/>
    <col min="5901" max="5901" width="8.42578125" style="10" customWidth="1"/>
    <col min="5902" max="5902" width="18.85546875" style="10" customWidth="1"/>
    <col min="5903" max="5903" width="10.28515625" style="10" customWidth="1"/>
    <col min="5904" max="5904" width="11.42578125" style="10"/>
    <col min="5905" max="5905" width="12.140625" style="10" customWidth="1"/>
    <col min="5906" max="5906" width="10.5703125" style="10" customWidth="1"/>
    <col min="5907" max="5907" width="12.42578125" style="10" customWidth="1"/>
    <col min="5908" max="5908" width="15.140625" style="10" customWidth="1"/>
    <col min="5909" max="5909" width="13.5703125" style="10" customWidth="1"/>
    <col min="5910" max="5910" width="13.140625" style="10" customWidth="1"/>
    <col min="5911" max="5911" width="15.7109375" style="10" customWidth="1"/>
    <col min="5912" max="5912" width="37.5703125" style="10" customWidth="1"/>
    <col min="5913" max="6134" width="11.42578125" style="10"/>
    <col min="6135" max="6135" width="10.5703125" style="10" customWidth="1"/>
    <col min="6136" max="6136" width="4.85546875" style="10" customWidth="1"/>
    <col min="6137" max="6137" width="32.42578125" style="10" customWidth="1"/>
    <col min="6138" max="6138" width="9.85546875" style="10" customWidth="1"/>
    <col min="6139" max="6139" width="10.140625" style="10" customWidth="1"/>
    <col min="6140" max="6140" width="12.28515625" style="10" customWidth="1"/>
    <col min="6141" max="6141" width="15.42578125" style="10" customWidth="1"/>
    <col min="6142" max="6142" width="11.85546875" style="10" customWidth="1"/>
    <col min="6143" max="6143" width="13.28515625" style="10" customWidth="1"/>
    <col min="6144" max="6144" width="15.28515625" style="10" customWidth="1"/>
    <col min="6145" max="6145" width="11.85546875" style="10" customWidth="1"/>
    <col min="6146" max="6146" width="6.140625" style="10" customWidth="1"/>
    <col min="6147" max="6147" width="11.85546875" style="10" customWidth="1"/>
    <col min="6148" max="6148" width="9.42578125" style="10" customWidth="1"/>
    <col min="6149" max="6149" width="14.7109375" style="10" customWidth="1"/>
    <col min="6150" max="6150" width="11.5703125" style="10" customWidth="1"/>
    <col min="6151" max="6151" width="0.42578125" style="10" customWidth="1"/>
    <col min="6152" max="6152" width="10.5703125" style="10" bestFit="1" customWidth="1"/>
    <col min="6153" max="6153" width="12.28515625" style="10" customWidth="1"/>
    <col min="6154" max="6154" width="12.5703125" style="10" customWidth="1"/>
    <col min="6155" max="6155" width="10.5703125" style="10" customWidth="1"/>
    <col min="6156" max="6156" width="10.140625" style="10" customWidth="1"/>
    <col min="6157" max="6157" width="8.42578125" style="10" customWidth="1"/>
    <col min="6158" max="6158" width="18.85546875" style="10" customWidth="1"/>
    <col min="6159" max="6159" width="10.28515625" style="10" customWidth="1"/>
    <col min="6160" max="6160" width="11.42578125" style="10"/>
    <col min="6161" max="6161" width="12.140625" style="10" customWidth="1"/>
    <col min="6162" max="6162" width="10.5703125" style="10" customWidth="1"/>
    <col min="6163" max="6163" width="12.42578125" style="10" customWidth="1"/>
    <col min="6164" max="6164" width="15.140625" style="10" customWidth="1"/>
    <col min="6165" max="6165" width="13.5703125" style="10" customWidth="1"/>
    <col min="6166" max="6166" width="13.140625" style="10" customWidth="1"/>
    <col min="6167" max="6167" width="15.7109375" style="10" customWidth="1"/>
    <col min="6168" max="6168" width="37.5703125" style="10" customWidth="1"/>
    <col min="6169" max="6390" width="11.42578125" style="10"/>
    <col min="6391" max="6391" width="10.5703125" style="10" customWidth="1"/>
    <col min="6392" max="6392" width="4.85546875" style="10" customWidth="1"/>
    <col min="6393" max="6393" width="32.42578125" style="10" customWidth="1"/>
    <col min="6394" max="6394" width="9.85546875" style="10" customWidth="1"/>
    <col min="6395" max="6395" width="10.140625" style="10" customWidth="1"/>
    <col min="6396" max="6396" width="12.28515625" style="10" customWidth="1"/>
    <col min="6397" max="6397" width="15.42578125" style="10" customWidth="1"/>
    <col min="6398" max="6398" width="11.85546875" style="10" customWidth="1"/>
    <col min="6399" max="6399" width="13.28515625" style="10" customWidth="1"/>
    <col min="6400" max="6400" width="15.28515625" style="10" customWidth="1"/>
    <col min="6401" max="6401" width="11.85546875" style="10" customWidth="1"/>
    <col min="6402" max="6402" width="6.140625" style="10" customWidth="1"/>
    <col min="6403" max="6403" width="11.85546875" style="10" customWidth="1"/>
    <col min="6404" max="6404" width="9.42578125" style="10" customWidth="1"/>
    <col min="6405" max="6405" width="14.7109375" style="10" customWidth="1"/>
    <col min="6406" max="6406" width="11.5703125" style="10" customWidth="1"/>
    <col min="6407" max="6407" width="0.42578125" style="10" customWidth="1"/>
    <col min="6408" max="6408" width="10.5703125" style="10" bestFit="1" customWidth="1"/>
    <col min="6409" max="6409" width="12.28515625" style="10" customWidth="1"/>
    <col min="6410" max="6410" width="12.5703125" style="10" customWidth="1"/>
    <col min="6411" max="6411" width="10.5703125" style="10" customWidth="1"/>
    <col min="6412" max="6412" width="10.140625" style="10" customWidth="1"/>
    <col min="6413" max="6413" width="8.42578125" style="10" customWidth="1"/>
    <col min="6414" max="6414" width="18.85546875" style="10" customWidth="1"/>
    <col min="6415" max="6415" width="10.28515625" style="10" customWidth="1"/>
    <col min="6416" max="6416" width="11.42578125" style="10"/>
    <col min="6417" max="6417" width="12.140625" style="10" customWidth="1"/>
    <col min="6418" max="6418" width="10.5703125" style="10" customWidth="1"/>
    <col min="6419" max="6419" width="12.42578125" style="10" customWidth="1"/>
    <col min="6420" max="6420" width="15.140625" style="10" customWidth="1"/>
    <col min="6421" max="6421" width="13.5703125" style="10" customWidth="1"/>
    <col min="6422" max="6422" width="13.140625" style="10" customWidth="1"/>
    <col min="6423" max="6423" width="15.7109375" style="10" customWidth="1"/>
    <col min="6424" max="6424" width="37.5703125" style="10" customWidth="1"/>
    <col min="6425" max="6646" width="11.42578125" style="10"/>
    <col min="6647" max="6647" width="10.5703125" style="10" customWidth="1"/>
    <col min="6648" max="6648" width="4.85546875" style="10" customWidth="1"/>
    <col min="6649" max="6649" width="32.42578125" style="10" customWidth="1"/>
    <col min="6650" max="6650" width="9.85546875" style="10" customWidth="1"/>
    <col min="6651" max="6651" width="10.140625" style="10" customWidth="1"/>
    <col min="6652" max="6652" width="12.28515625" style="10" customWidth="1"/>
    <col min="6653" max="6653" width="15.42578125" style="10" customWidth="1"/>
    <col min="6654" max="6654" width="11.85546875" style="10" customWidth="1"/>
    <col min="6655" max="6655" width="13.28515625" style="10" customWidth="1"/>
    <col min="6656" max="6656" width="15.28515625" style="10" customWidth="1"/>
    <col min="6657" max="6657" width="11.85546875" style="10" customWidth="1"/>
    <col min="6658" max="6658" width="6.140625" style="10" customWidth="1"/>
    <col min="6659" max="6659" width="11.85546875" style="10" customWidth="1"/>
    <col min="6660" max="6660" width="9.42578125" style="10" customWidth="1"/>
    <col min="6661" max="6661" width="14.7109375" style="10" customWidth="1"/>
    <col min="6662" max="6662" width="11.5703125" style="10" customWidth="1"/>
    <col min="6663" max="6663" width="0.42578125" style="10" customWidth="1"/>
    <col min="6664" max="6664" width="10.5703125" style="10" bestFit="1" customWidth="1"/>
    <col min="6665" max="6665" width="12.28515625" style="10" customWidth="1"/>
    <col min="6666" max="6666" width="12.5703125" style="10" customWidth="1"/>
    <col min="6667" max="6667" width="10.5703125" style="10" customWidth="1"/>
    <col min="6668" max="6668" width="10.140625" style="10" customWidth="1"/>
    <col min="6669" max="6669" width="8.42578125" style="10" customWidth="1"/>
    <col min="6670" max="6670" width="18.85546875" style="10" customWidth="1"/>
    <col min="6671" max="6671" width="10.28515625" style="10" customWidth="1"/>
    <col min="6672" max="6672" width="11.42578125" style="10"/>
    <col min="6673" max="6673" width="12.140625" style="10" customWidth="1"/>
    <col min="6674" max="6674" width="10.5703125" style="10" customWidth="1"/>
    <col min="6675" max="6675" width="12.42578125" style="10" customWidth="1"/>
    <col min="6676" max="6676" width="15.140625" style="10" customWidth="1"/>
    <col min="6677" max="6677" width="13.5703125" style="10" customWidth="1"/>
    <col min="6678" max="6678" width="13.140625" style="10" customWidth="1"/>
    <col min="6679" max="6679" width="15.7109375" style="10" customWidth="1"/>
    <col min="6680" max="6680" width="37.5703125" style="10" customWidth="1"/>
    <col min="6681" max="6902" width="11.42578125" style="10"/>
    <col min="6903" max="6903" width="10.5703125" style="10" customWidth="1"/>
    <col min="6904" max="6904" width="4.85546875" style="10" customWidth="1"/>
    <col min="6905" max="6905" width="32.42578125" style="10" customWidth="1"/>
    <col min="6906" max="6906" width="9.85546875" style="10" customWidth="1"/>
    <col min="6907" max="6907" width="10.140625" style="10" customWidth="1"/>
    <col min="6908" max="6908" width="12.28515625" style="10" customWidth="1"/>
    <col min="6909" max="6909" width="15.42578125" style="10" customWidth="1"/>
    <col min="6910" max="6910" width="11.85546875" style="10" customWidth="1"/>
    <col min="6911" max="6911" width="13.28515625" style="10" customWidth="1"/>
    <col min="6912" max="6912" width="15.28515625" style="10" customWidth="1"/>
    <col min="6913" max="6913" width="11.85546875" style="10" customWidth="1"/>
    <col min="6914" max="6914" width="6.140625" style="10" customWidth="1"/>
    <col min="6915" max="6915" width="11.85546875" style="10" customWidth="1"/>
    <col min="6916" max="6916" width="9.42578125" style="10" customWidth="1"/>
    <col min="6917" max="6917" width="14.7109375" style="10" customWidth="1"/>
    <col min="6918" max="6918" width="11.5703125" style="10" customWidth="1"/>
    <col min="6919" max="6919" width="0.42578125" style="10" customWidth="1"/>
    <col min="6920" max="6920" width="10.5703125" style="10" bestFit="1" customWidth="1"/>
    <col min="6921" max="6921" width="12.28515625" style="10" customWidth="1"/>
    <col min="6922" max="6922" width="12.5703125" style="10" customWidth="1"/>
    <col min="6923" max="6923" width="10.5703125" style="10" customWidth="1"/>
    <col min="6924" max="6924" width="10.140625" style="10" customWidth="1"/>
    <col min="6925" max="6925" width="8.42578125" style="10" customWidth="1"/>
    <col min="6926" max="6926" width="18.85546875" style="10" customWidth="1"/>
    <col min="6927" max="6927" width="10.28515625" style="10" customWidth="1"/>
    <col min="6928" max="6928" width="11.42578125" style="10"/>
    <col min="6929" max="6929" width="12.140625" style="10" customWidth="1"/>
    <col min="6930" max="6930" width="10.5703125" style="10" customWidth="1"/>
    <col min="6931" max="6931" width="12.42578125" style="10" customWidth="1"/>
    <col min="6932" max="6932" width="15.140625" style="10" customWidth="1"/>
    <col min="6933" max="6933" width="13.5703125" style="10" customWidth="1"/>
    <col min="6934" max="6934" width="13.140625" style="10" customWidth="1"/>
    <col min="6935" max="6935" width="15.7109375" style="10" customWidth="1"/>
    <col min="6936" max="6936" width="37.5703125" style="10" customWidth="1"/>
    <col min="6937" max="7158" width="11.42578125" style="10"/>
    <col min="7159" max="7159" width="10.5703125" style="10" customWidth="1"/>
    <col min="7160" max="7160" width="4.85546875" style="10" customWidth="1"/>
    <col min="7161" max="7161" width="32.42578125" style="10" customWidth="1"/>
    <col min="7162" max="7162" width="9.85546875" style="10" customWidth="1"/>
    <col min="7163" max="7163" width="10.140625" style="10" customWidth="1"/>
    <col min="7164" max="7164" width="12.28515625" style="10" customWidth="1"/>
    <col min="7165" max="7165" width="15.42578125" style="10" customWidth="1"/>
    <col min="7166" max="7166" width="11.85546875" style="10" customWidth="1"/>
    <col min="7167" max="7167" width="13.28515625" style="10" customWidth="1"/>
    <col min="7168" max="7168" width="15.28515625" style="10" customWidth="1"/>
    <col min="7169" max="7169" width="11.85546875" style="10" customWidth="1"/>
    <col min="7170" max="7170" width="6.140625" style="10" customWidth="1"/>
    <col min="7171" max="7171" width="11.85546875" style="10" customWidth="1"/>
    <col min="7172" max="7172" width="9.42578125" style="10" customWidth="1"/>
    <col min="7173" max="7173" width="14.7109375" style="10" customWidth="1"/>
    <col min="7174" max="7174" width="11.5703125" style="10" customWidth="1"/>
    <col min="7175" max="7175" width="0.42578125" style="10" customWidth="1"/>
    <col min="7176" max="7176" width="10.5703125" style="10" bestFit="1" customWidth="1"/>
    <col min="7177" max="7177" width="12.28515625" style="10" customWidth="1"/>
    <col min="7178" max="7178" width="12.5703125" style="10" customWidth="1"/>
    <col min="7179" max="7179" width="10.5703125" style="10" customWidth="1"/>
    <col min="7180" max="7180" width="10.140625" style="10" customWidth="1"/>
    <col min="7181" max="7181" width="8.42578125" style="10" customWidth="1"/>
    <col min="7182" max="7182" width="18.85546875" style="10" customWidth="1"/>
    <col min="7183" max="7183" width="10.28515625" style="10" customWidth="1"/>
    <col min="7184" max="7184" width="11.42578125" style="10"/>
    <col min="7185" max="7185" width="12.140625" style="10" customWidth="1"/>
    <col min="7186" max="7186" width="10.5703125" style="10" customWidth="1"/>
    <col min="7187" max="7187" width="12.42578125" style="10" customWidth="1"/>
    <col min="7188" max="7188" width="15.140625" style="10" customWidth="1"/>
    <col min="7189" max="7189" width="13.5703125" style="10" customWidth="1"/>
    <col min="7190" max="7190" width="13.140625" style="10" customWidth="1"/>
    <col min="7191" max="7191" width="15.7109375" style="10" customWidth="1"/>
    <col min="7192" max="7192" width="37.5703125" style="10" customWidth="1"/>
    <col min="7193" max="7414" width="11.42578125" style="10"/>
    <col min="7415" max="7415" width="10.5703125" style="10" customWidth="1"/>
    <col min="7416" max="7416" width="4.85546875" style="10" customWidth="1"/>
    <col min="7417" max="7417" width="32.42578125" style="10" customWidth="1"/>
    <col min="7418" max="7418" width="9.85546875" style="10" customWidth="1"/>
    <col min="7419" max="7419" width="10.140625" style="10" customWidth="1"/>
    <col min="7420" max="7420" width="12.28515625" style="10" customWidth="1"/>
    <col min="7421" max="7421" width="15.42578125" style="10" customWidth="1"/>
    <col min="7422" max="7422" width="11.85546875" style="10" customWidth="1"/>
    <col min="7423" max="7423" width="13.28515625" style="10" customWidth="1"/>
    <col min="7424" max="7424" width="15.28515625" style="10" customWidth="1"/>
    <col min="7425" max="7425" width="11.85546875" style="10" customWidth="1"/>
    <col min="7426" max="7426" width="6.140625" style="10" customWidth="1"/>
    <col min="7427" max="7427" width="11.85546875" style="10" customWidth="1"/>
    <col min="7428" max="7428" width="9.42578125" style="10" customWidth="1"/>
    <col min="7429" max="7429" width="14.7109375" style="10" customWidth="1"/>
    <col min="7430" max="7430" width="11.5703125" style="10" customWidth="1"/>
    <col min="7431" max="7431" width="0.42578125" style="10" customWidth="1"/>
    <col min="7432" max="7432" width="10.5703125" style="10" bestFit="1" customWidth="1"/>
    <col min="7433" max="7433" width="12.28515625" style="10" customWidth="1"/>
    <col min="7434" max="7434" width="12.5703125" style="10" customWidth="1"/>
    <col min="7435" max="7435" width="10.5703125" style="10" customWidth="1"/>
    <col min="7436" max="7436" width="10.140625" style="10" customWidth="1"/>
    <col min="7437" max="7437" width="8.42578125" style="10" customWidth="1"/>
    <col min="7438" max="7438" width="18.85546875" style="10" customWidth="1"/>
    <col min="7439" max="7439" width="10.28515625" style="10" customWidth="1"/>
    <col min="7440" max="7440" width="11.42578125" style="10"/>
    <col min="7441" max="7441" width="12.140625" style="10" customWidth="1"/>
    <col min="7442" max="7442" width="10.5703125" style="10" customWidth="1"/>
    <col min="7443" max="7443" width="12.42578125" style="10" customWidth="1"/>
    <col min="7444" max="7444" width="15.140625" style="10" customWidth="1"/>
    <col min="7445" max="7445" width="13.5703125" style="10" customWidth="1"/>
    <col min="7446" max="7446" width="13.140625" style="10" customWidth="1"/>
    <col min="7447" max="7447" width="15.7109375" style="10" customWidth="1"/>
    <col min="7448" max="7448" width="37.5703125" style="10" customWidth="1"/>
    <col min="7449" max="7670" width="11.42578125" style="10"/>
    <col min="7671" max="7671" width="10.5703125" style="10" customWidth="1"/>
    <col min="7672" max="7672" width="4.85546875" style="10" customWidth="1"/>
    <col min="7673" max="7673" width="32.42578125" style="10" customWidth="1"/>
    <col min="7674" max="7674" width="9.85546875" style="10" customWidth="1"/>
    <col min="7675" max="7675" width="10.140625" style="10" customWidth="1"/>
    <col min="7676" max="7676" width="12.28515625" style="10" customWidth="1"/>
    <col min="7677" max="7677" width="15.42578125" style="10" customWidth="1"/>
    <col min="7678" max="7678" width="11.85546875" style="10" customWidth="1"/>
    <col min="7679" max="7679" width="13.28515625" style="10" customWidth="1"/>
    <col min="7680" max="7680" width="15.28515625" style="10" customWidth="1"/>
    <col min="7681" max="7681" width="11.85546875" style="10" customWidth="1"/>
    <col min="7682" max="7682" width="6.140625" style="10" customWidth="1"/>
    <col min="7683" max="7683" width="11.85546875" style="10" customWidth="1"/>
    <col min="7684" max="7684" width="9.42578125" style="10" customWidth="1"/>
    <col min="7685" max="7685" width="14.7109375" style="10" customWidth="1"/>
    <col min="7686" max="7686" width="11.5703125" style="10" customWidth="1"/>
    <col min="7687" max="7687" width="0.42578125" style="10" customWidth="1"/>
    <col min="7688" max="7688" width="10.5703125" style="10" bestFit="1" customWidth="1"/>
    <col min="7689" max="7689" width="12.28515625" style="10" customWidth="1"/>
    <col min="7690" max="7690" width="12.5703125" style="10" customWidth="1"/>
    <col min="7691" max="7691" width="10.5703125" style="10" customWidth="1"/>
    <col min="7692" max="7692" width="10.140625" style="10" customWidth="1"/>
    <col min="7693" max="7693" width="8.42578125" style="10" customWidth="1"/>
    <col min="7694" max="7694" width="18.85546875" style="10" customWidth="1"/>
    <col min="7695" max="7695" width="10.28515625" style="10" customWidth="1"/>
    <col min="7696" max="7696" width="11.42578125" style="10"/>
    <col min="7697" max="7697" width="12.140625" style="10" customWidth="1"/>
    <col min="7698" max="7698" width="10.5703125" style="10" customWidth="1"/>
    <col min="7699" max="7699" width="12.42578125" style="10" customWidth="1"/>
    <col min="7700" max="7700" width="15.140625" style="10" customWidth="1"/>
    <col min="7701" max="7701" width="13.5703125" style="10" customWidth="1"/>
    <col min="7702" max="7702" width="13.140625" style="10" customWidth="1"/>
    <col min="7703" max="7703" width="15.7109375" style="10" customWidth="1"/>
    <col min="7704" max="7704" width="37.5703125" style="10" customWidth="1"/>
    <col min="7705" max="7926" width="11.42578125" style="10"/>
    <col min="7927" max="7927" width="10.5703125" style="10" customWidth="1"/>
    <col min="7928" max="7928" width="4.85546875" style="10" customWidth="1"/>
    <col min="7929" max="7929" width="32.42578125" style="10" customWidth="1"/>
    <col min="7930" max="7930" width="9.85546875" style="10" customWidth="1"/>
    <col min="7931" max="7931" width="10.140625" style="10" customWidth="1"/>
    <col min="7932" max="7932" width="12.28515625" style="10" customWidth="1"/>
    <col min="7933" max="7933" width="15.42578125" style="10" customWidth="1"/>
    <col min="7934" max="7934" width="11.85546875" style="10" customWidth="1"/>
    <col min="7935" max="7935" width="13.28515625" style="10" customWidth="1"/>
    <col min="7936" max="7936" width="15.28515625" style="10" customWidth="1"/>
    <col min="7937" max="7937" width="11.85546875" style="10" customWidth="1"/>
    <col min="7938" max="7938" width="6.140625" style="10" customWidth="1"/>
    <col min="7939" max="7939" width="11.85546875" style="10" customWidth="1"/>
    <col min="7940" max="7940" width="9.42578125" style="10" customWidth="1"/>
    <col min="7941" max="7941" width="14.7109375" style="10" customWidth="1"/>
    <col min="7942" max="7942" width="11.5703125" style="10" customWidth="1"/>
    <col min="7943" max="7943" width="0.42578125" style="10" customWidth="1"/>
    <col min="7944" max="7944" width="10.5703125" style="10" bestFit="1" customWidth="1"/>
    <col min="7945" max="7945" width="12.28515625" style="10" customWidth="1"/>
    <col min="7946" max="7946" width="12.5703125" style="10" customWidth="1"/>
    <col min="7947" max="7947" width="10.5703125" style="10" customWidth="1"/>
    <col min="7948" max="7948" width="10.140625" style="10" customWidth="1"/>
    <col min="7949" max="7949" width="8.42578125" style="10" customWidth="1"/>
    <col min="7950" max="7950" width="18.85546875" style="10" customWidth="1"/>
    <col min="7951" max="7951" width="10.28515625" style="10" customWidth="1"/>
    <col min="7952" max="7952" width="11.42578125" style="10"/>
    <col min="7953" max="7953" width="12.140625" style="10" customWidth="1"/>
    <col min="7954" max="7954" width="10.5703125" style="10" customWidth="1"/>
    <col min="7955" max="7955" width="12.42578125" style="10" customWidth="1"/>
    <col min="7956" max="7956" width="15.140625" style="10" customWidth="1"/>
    <col min="7957" max="7957" width="13.5703125" style="10" customWidth="1"/>
    <col min="7958" max="7958" width="13.140625" style="10" customWidth="1"/>
    <col min="7959" max="7959" width="15.7109375" style="10" customWidth="1"/>
    <col min="7960" max="7960" width="37.5703125" style="10" customWidth="1"/>
    <col min="7961" max="8182" width="11.42578125" style="10"/>
    <col min="8183" max="8183" width="10.5703125" style="10" customWidth="1"/>
    <col min="8184" max="8184" width="4.85546875" style="10" customWidth="1"/>
    <col min="8185" max="8185" width="32.42578125" style="10" customWidth="1"/>
    <col min="8186" max="8186" width="9.85546875" style="10" customWidth="1"/>
    <col min="8187" max="8187" width="10.140625" style="10" customWidth="1"/>
    <col min="8188" max="8188" width="12.28515625" style="10" customWidth="1"/>
    <col min="8189" max="8189" width="15.42578125" style="10" customWidth="1"/>
    <col min="8190" max="8190" width="11.85546875" style="10" customWidth="1"/>
    <col min="8191" max="8191" width="13.28515625" style="10" customWidth="1"/>
    <col min="8192" max="8192" width="15.28515625" style="10" customWidth="1"/>
    <col min="8193" max="8193" width="11.85546875" style="10" customWidth="1"/>
    <col min="8194" max="8194" width="6.140625" style="10" customWidth="1"/>
    <col min="8195" max="8195" width="11.85546875" style="10" customWidth="1"/>
    <col min="8196" max="8196" width="9.42578125" style="10" customWidth="1"/>
    <col min="8197" max="8197" width="14.7109375" style="10" customWidth="1"/>
    <col min="8198" max="8198" width="11.5703125" style="10" customWidth="1"/>
    <col min="8199" max="8199" width="0.42578125" style="10" customWidth="1"/>
    <col min="8200" max="8200" width="10.5703125" style="10" bestFit="1" customWidth="1"/>
    <col min="8201" max="8201" width="12.28515625" style="10" customWidth="1"/>
    <col min="8202" max="8202" width="12.5703125" style="10" customWidth="1"/>
    <col min="8203" max="8203" width="10.5703125" style="10" customWidth="1"/>
    <col min="8204" max="8204" width="10.140625" style="10" customWidth="1"/>
    <col min="8205" max="8205" width="8.42578125" style="10" customWidth="1"/>
    <col min="8206" max="8206" width="18.85546875" style="10" customWidth="1"/>
    <col min="8207" max="8207" width="10.28515625" style="10" customWidth="1"/>
    <col min="8208" max="8208" width="11.42578125" style="10"/>
    <col min="8209" max="8209" width="12.140625" style="10" customWidth="1"/>
    <col min="8210" max="8210" width="10.5703125" style="10" customWidth="1"/>
    <col min="8211" max="8211" width="12.42578125" style="10" customWidth="1"/>
    <col min="8212" max="8212" width="15.140625" style="10" customWidth="1"/>
    <col min="8213" max="8213" width="13.5703125" style="10" customWidth="1"/>
    <col min="8214" max="8214" width="13.140625" style="10" customWidth="1"/>
    <col min="8215" max="8215" width="15.7109375" style="10" customWidth="1"/>
    <col min="8216" max="8216" width="37.5703125" style="10" customWidth="1"/>
    <col min="8217" max="8438" width="11.42578125" style="10"/>
    <col min="8439" max="8439" width="10.5703125" style="10" customWidth="1"/>
    <col min="8440" max="8440" width="4.85546875" style="10" customWidth="1"/>
    <col min="8441" max="8441" width="32.42578125" style="10" customWidth="1"/>
    <col min="8442" max="8442" width="9.85546875" style="10" customWidth="1"/>
    <col min="8443" max="8443" width="10.140625" style="10" customWidth="1"/>
    <col min="8444" max="8444" width="12.28515625" style="10" customWidth="1"/>
    <col min="8445" max="8445" width="15.42578125" style="10" customWidth="1"/>
    <col min="8446" max="8446" width="11.85546875" style="10" customWidth="1"/>
    <col min="8447" max="8447" width="13.28515625" style="10" customWidth="1"/>
    <col min="8448" max="8448" width="15.28515625" style="10" customWidth="1"/>
    <col min="8449" max="8449" width="11.85546875" style="10" customWidth="1"/>
    <col min="8450" max="8450" width="6.140625" style="10" customWidth="1"/>
    <col min="8451" max="8451" width="11.85546875" style="10" customWidth="1"/>
    <col min="8452" max="8452" width="9.42578125" style="10" customWidth="1"/>
    <col min="8453" max="8453" width="14.7109375" style="10" customWidth="1"/>
    <col min="8454" max="8454" width="11.5703125" style="10" customWidth="1"/>
    <col min="8455" max="8455" width="0.42578125" style="10" customWidth="1"/>
    <col min="8456" max="8456" width="10.5703125" style="10" bestFit="1" customWidth="1"/>
    <col min="8457" max="8457" width="12.28515625" style="10" customWidth="1"/>
    <col min="8458" max="8458" width="12.5703125" style="10" customWidth="1"/>
    <col min="8459" max="8459" width="10.5703125" style="10" customWidth="1"/>
    <col min="8460" max="8460" width="10.140625" style="10" customWidth="1"/>
    <col min="8461" max="8461" width="8.42578125" style="10" customWidth="1"/>
    <col min="8462" max="8462" width="18.85546875" style="10" customWidth="1"/>
    <col min="8463" max="8463" width="10.28515625" style="10" customWidth="1"/>
    <col min="8464" max="8464" width="11.42578125" style="10"/>
    <col min="8465" max="8465" width="12.140625" style="10" customWidth="1"/>
    <col min="8466" max="8466" width="10.5703125" style="10" customWidth="1"/>
    <col min="8467" max="8467" width="12.42578125" style="10" customWidth="1"/>
    <col min="8468" max="8468" width="15.140625" style="10" customWidth="1"/>
    <col min="8469" max="8469" width="13.5703125" style="10" customWidth="1"/>
    <col min="8470" max="8470" width="13.140625" style="10" customWidth="1"/>
    <col min="8471" max="8471" width="15.7109375" style="10" customWidth="1"/>
    <col min="8472" max="8472" width="37.5703125" style="10" customWidth="1"/>
    <col min="8473" max="8694" width="11.42578125" style="10"/>
    <col min="8695" max="8695" width="10.5703125" style="10" customWidth="1"/>
    <col min="8696" max="8696" width="4.85546875" style="10" customWidth="1"/>
    <col min="8697" max="8697" width="32.42578125" style="10" customWidth="1"/>
    <col min="8698" max="8698" width="9.85546875" style="10" customWidth="1"/>
    <col min="8699" max="8699" width="10.140625" style="10" customWidth="1"/>
    <col min="8700" max="8700" width="12.28515625" style="10" customWidth="1"/>
    <col min="8701" max="8701" width="15.42578125" style="10" customWidth="1"/>
    <col min="8702" max="8702" width="11.85546875" style="10" customWidth="1"/>
    <col min="8703" max="8703" width="13.28515625" style="10" customWidth="1"/>
    <col min="8704" max="8704" width="15.28515625" style="10" customWidth="1"/>
    <col min="8705" max="8705" width="11.85546875" style="10" customWidth="1"/>
    <col min="8706" max="8706" width="6.140625" style="10" customWidth="1"/>
    <col min="8707" max="8707" width="11.85546875" style="10" customWidth="1"/>
    <col min="8708" max="8708" width="9.42578125" style="10" customWidth="1"/>
    <col min="8709" max="8709" width="14.7109375" style="10" customWidth="1"/>
    <col min="8710" max="8710" width="11.5703125" style="10" customWidth="1"/>
    <col min="8711" max="8711" width="0.42578125" style="10" customWidth="1"/>
    <col min="8712" max="8712" width="10.5703125" style="10" bestFit="1" customWidth="1"/>
    <col min="8713" max="8713" width="12.28515625" style="10" customWidth="1"/>
    <col min="8714" max="8714" width="12.5703125" style="10" customWidth="1"/>
    <col min="8715" max="8715" width="10.5703125" style="10" customWidth="1"/>
    <col min="8716" max="8716" width="10.140625" style="10" customWidth="1"/>
    <col min="8717" max="8717" width="8.42578125" style="10" customWidth="1"/>
    <col min="8718" max="8718" width="18.85546875" style="10" customWidth="1"/>
    <col min="8719" max="8719" width="10.28515625" style="10" customWidth="1"/>
    <col min="8720" max="8720" width="11.42578125" style="10"/>
    <col min="8721" max="8721" width="12.140625" style="10" customWidth="1"/>
    <col min="8722" max="8722" width="10.5703125" style="10" customWidth="1"/>
    <col min="8723" max="8723" width="12.42578125" style="10" customWidth="1"/>
    <col min="8724" max="8724" width="15.140625" style="10" customWidth="1"/>
    <col min="8725" max="8725" width="13.5703125" style="10" customWidth="1"/>
    <col min="8726" max="8726" width="13.140625" style="10" customWidth="1"/>
    <col min="8727" max="8727" width="15.7109375" style="10" customWidth="1"/>
    <col min="8728" max="8728" width="37.5703125" style="10" customWidth="1"/>
    <col min="8729" max="8950" width="11.42578125" style="10"/>
    <col min="8951" max="8951" width="10.5703125" style="10" customWidth="1"/>
    <col min="8952" max="8952" width="4.85546875" style="10" customWidth="1"/>
    <col min="8953" max="8953" width="32.42578125" style="10" customWidth="1"/>
    <col min="8954" max="8954" width="9.85546875" style="10" customWidth="1"/>
    <col min="8955" max="8955" width="10.140625" style="10" customWidth="1"/>
    <col min="8956" max="8956" width="12.28515625" style="10" customWidth="1"/>
    <col min="8957" max="8957" width="15.42578125" style="10" customWidth="1"/>
    <col min="8958" max="8958" width="11.85546875" style="10" customWidth="1"/>
    <col min="8959" max="8959" width="13.28515625" style="10" customWidth="1"/>
    <col min="8960" max="8960" width="15.28515625" style="10" customWidth="1"/>
    <col min="8961" max="8961" width="11.85546875" style="10" customWidth="1"/>
    <col min="8962" max="8962" width="6.140625" style="10" customWidth="1"/>
    <col min="8963" max="8963" width="11.85546875" style="10" customWidth="1"/>
    <col min="8964" max="8964" width="9.42578125" style="10" customWidth="1"/>
    <col min="8965" max="8965" width="14.7109375" style="10" customWidth="1"/>
    <col min="8966" max="8966" width="11.5703125" style="10" customWidth="1"/>
    <col min="8967" max="8967" width="0.42578125" style="10" customWidth="1"/>
    <col min="8968" max="8968" width="10.5703125" style="10" bestFit="1" customWidth="1"/>
    <col min="8969" max="8969" width="12.28515625" style="10" customWidth="1"/>
    <col min="8970" max="8970" width="12.5703125" style="10" customWidth="1"/>
    <col min="8971" max="8971" width="10.5703125" style="10" customWidth="1"/>
    <col min="8972" max="8972" width="10.140625" style="10" customWidth="1"/>
    <col min="8973" max="8973" width="8.42578125" style="10" customWidth="1"/>
    <col min="8974" max="8974" width="18.85546875" style="10" customWidth="1"/>
    <col min="8975" max="8975" width="10.28515625" style="10" customWidth="1"/>
    <col min="8976" max="8976" width="11.42578125" style="10"/>
    <col min="8977" max="8977" width="12.140625" style="10" customWidth="1"/>
    <col min="8978" max="8978" width="10.5703125" style="10" customWidth="1"/>
    <col min="8979" max="8979" width="12.42578125" style="10" customWidth="1"/>
    <col min="8980" max="8980" width="15.140625" style="10" customWidth="1"/>
    <col min="8981" max="8981" width="13.5703125" style="10" customWidth="1"/>
    <col min="8982" max="8982" width="13.140625" style="10" customWidth="1"/>
    <col min="8983" max="8983" width="15.7109375" style="10" customWidth="1"/>
    <col min="8984" max="8984" width="37.5703125" style="10" customWidth="1"/>
    <col min="8985" max="9206" width="11.42578125" style="10"/>
    <col min="9207" max="9207" width="10.5703125" style="10" customWidth="1"/>
    <col min="9208" max="9208" width="4.85546875" style="10" customWidth="1"/>
    <col min="9209" max="9209" width="32.42578125" style="10" customWidth="1"/>
    <col min="9210" max="9210" width="9.85546875" style="10" customWidth="1"/>
    <col min="9211" max="9211" width="10.140625" style="10" customWidth="1"/>
    <col min="9212" max="9212" width="12.28515625" style="10" customWidth="1"/>
    <col min="9213" max="9213" width="15.42578125" style="10" customWidth="1"/>
    <col min="9214" max="9214" width="11.85546875" style="10" customWidth="1"/>
    <col min="9215" max="9215" width="13.28515625" style="10" customWidth="1"/>
    <col min="9216" max="9216" width="15.28515625" style="10" customWidth="1"/>
    <col min="9217" max="9217" width="11.85546875" style="10" customWidth="1"/>
    <col min="9218" max="9218" width="6.140625" style="10" customWidth="1"/>
    <col min="9219" max="9219" width="11.85546875" style="10" customWidth="1"/>
    <col min="9220" max="9220" width="9.42578125" style="10" customWidth="1"/>
    <col min="9221" max="9221" width="14.7109375" style="10" customWidth="1"/>
    <col min="9222" max="9222" width="11.5703125" style="10" customWidth="1"/>
    <col min="9223" max="9223" width="0.42578125" style="10" customWidth="1"/>
    <col min="9224" max="9224" width="10.5703125" style="10" bestFit="1" customWidth="1"/>
    <col min="9225" max="9225" width="12.28515625" style="10" customWidth="1"/>
    <col min="9226" max="9226" width="12.5703125" style="10" customWidth="1"/>
    <col min="9227" max="9227" width="10.5703125" style="10" customWidth="1"/>
    <col min="9228" max="9228" width="10.140625" style="10" customWidth="1"/>
    <col min="9229" max="9229" width="8.42578125" style="10" customWidth="1"/>
    <col min="9230" max="9230" width="18.85546875" style="10" customWidth="1"/>
    <col min="9231" max="9231" width="10.28515625" style="10" customWidth="1"/>
    <col min="9232" max="9232" width="11.42578125" style="10"/>
    <col min="9233" max="9233" width="12.140625" style="10" customWidth="1"/>
    <col min="9234" max="9234" width="10.5703125" style="10" customWidth="1"/>
    <col min="9235" max="9235" width="12.42578125" style="10" customWidth="1"/>
    <col min="9236" max="9236" width="15.140625" style="10" customWidth="1"/>
    <col min="9237" max="9237" width="13.5703125" style="10" customWidth="1"/>
    <col min="9238" max="9238" width="13.140625" style="10" customWidth="1"/>
    <col min="9239" max="9239" width="15.7109375" style="10" customWidth="1"/>
    <col min="9240" max="9240" width="37.5703125" style="10" customWidth="1"/>
    <col min="9241" max="9462" width="11.42578125" style="10"/>
    <col min="9463" max="9463" width="10.5703125" style="10" customWidth="1"/>
    <col min="9464" max="9464" width="4.85546875" style="10" customWidth="1"/>
    <col min="9465" max="9465" width="32.42578125" style="10" customWidth="1"/>
    <col min="9466" max="9466" width="9.85546875" style="10" customWidth="1"/>
    <col min="9467" max="9467" width="10.140625" style="10" customWidth="1"/>
    <col min="9468" max="9468" width="12.28515625" style="10" customWidth="1"/>
    <col min="9469" max="9469" width="15.42578125" style="10" customWidth="1"/>
    <col min="9470" max="9470" width="11.85546875" style="10" customWidth="1"/>
    <col min="9471" max="9471" width="13.28515625" style="10" customWidth="1"/>
    <col min="9472" max="9472" width="15.28515625" style="10" customWidth="1"/>
    <col min="9473" max="9473" width="11.85546875" style="10" customWidth="1"/>
    <col min="9474" max="9474" width="6.140625" style="10" customWidth="1"/>
    <col min="9475" max="9475" width="11.85546875" style="10" customWidth="1"/>
    <col min="9476" max="9476" width="9.42578125" style="10" customWidth="1"/>
    <col min="9477" max="9477" width="14.7109375" style="10" customWidth="1"/>
    <col min="9478" max="9478" width="11.5703125" style="10" customWidth="1"/>
    <col min="9479" max="9479" width="0.42578125" style="10" customWidth="1"/>
    <col min="9480" max="9480" width="10.5703125" style="10" bestFit="1" customWidth="1"/>
    <col min="9481" max="9481" width="12.28515625" style="10" customWidth="1"/>
    <col min="9482" max="9482" width="12.5703125" style="10" customWidth="1"/>
    <col min="9483" max="9483" width="10.5703125" style="10" customWidth="1"/>
    <col min="9484" max="9484" width="10.140625" style="10" customWidth="1"/>
    <col min="9485" max="9485" width="8.42578125" style="10" customWidth="1"/>
    <col min="9486" max="9486" width="18.85546875" style="10" customWidth="1"/>
    <col min="9487" max="9487" width="10.28515625" style="10" customWidth="1"/>
    <col min="9488" max="9488" width="11.42578125" style="10"/>
    <col min="9489" max="9489" width="12.140625" style="10" customWidth="1"/>
    <col min="9490" max="9490" width="10.5703125" style="10" customWidth="1"/>
    <col min="9491" max="9491" width="12.42578125" style="10" customWidth="1"/>
    <col min="9492" max="9492" width="15.140625" style="10" customWidth="1"/>
    <col min="9493" max="9493" width="13.5703125" style="10" customWidth="1"/>
    <col min="9494" max="9494" width="13.140625" style="10" customWidth="1"/>
    <col min="9495" max="9495" width="15.7109375" style="10" customWidth="1"/>
    <col min="9496" max="9496" width="37.5703125" style="10" customWidth="1"/>
    <col min="9497" max="9718" width="11.42578125" style="10"/>
    <col min="9719" max="9719" width="10.5703125" style="10" customWidth="1"/>
    <col min="9720" max="9720" width="4.85546875" style="10" customWidth="1"/>
    <col min="9721" max="9721" width="32.42578125" style="10" customWidth="1"/>
    <col min="9722" max="9722" width="9.85546875" style="10" customWidth="1"/>
    <col min="9723" max="9723" width="10.140625" style="10" customWidth="1"/>
    <col min="9724" max="9724" width="12.28515625" style="10" customWidth="1"/>
    <col min="9725" max="9725" width="15.42578125" style="10" customWidth="1"/>
    <col min="9726" max="9726" width="11.85546875" style="10" customWidth="1"/>
    <col min="9727" max="9727" width="13.28515625" style="10" customWidth="1"/>
    <col min="9728" max="9728" width="15.28515625" style="10" customWidth="1"/>
    <col min="9729" max="9729" width="11.85546875" style="10" customWidth="1"/>
    <col min="9730" max="9730" width="6.140625" style="10" customWidth="1"/>
    <col min="9731" max="9731" width="11.85546875" style="10" customWidth="1"/>
    <col min="9732" max="9732" width="9.42578125" style="10" customWidth="1"/>
    <col min="9733" max="9733" width="14.7109375" style="10" customWidth="1"/>
    <col min="9734" max="9734" width="11.5703125" style="10" customWidth="1"/>
    <col min="9735" max="9735" width="0.42578125" style="10" customWidth="1"/>
    <col min="9736" max="9736" width="10.5703125" style="10" bestFit="1" customWidth="1"/>
    <col min="9737" max="9737" width="12.28515625" style="10" customWidth="1"/>
    <col min="9738" max="9738" width="12.5703125" style="10" customWidth="1"/>
    <col min="9739" max="9739" width="10.5703125" style="10" customWidth="1"/>
    <col min="9740" max="9740" width="10.140625" style="10" customWidth="1"/>
    <col min="9741" max="9741" width="8.42578125" style="10" customWidth="1"/>
    <col min="9742" max="9742" width="18.85546875" style="10" customWidth="1"/>
    <col min="9743" max="9743" width="10.28515625" style="10" customWidth="1"/>
    <col min="9744" max="9744" width="11.42578125" style="10"/>
    <col min="9745" max="9745" width="12.140625" style="10" customWidth="1"/>
    <col min="9746" max="9746" width="10.5703125" style="10" customWidth="1"/>
    <col min="9747" max="9747" width="12.42578125" style="10" customWidth="1"/>
    <col min="9748" max="9748" width="15.140625" style="10" customWidth="1"/>
    <col min="9749" max="9749" width="13.5703125" style="10" customWidth="1"/>
    <col min="9750" max="9750" width="13.140625" style="10" customWidth="1"/>
    <col min="9751" max="9751" width="15.7109375" style="10" customWidth="1"/>
    <col min="9752" max="9752" width="37.5703125" style="10" customWidth="1"/>
    <col min="9753" max="9974" width="11.42578125" style="10"/>
    <col min="9975" max="9975" width="10.5703125" style="10" customWidth="1"/>
    <col min="9976" max="9976" width="4.85546875" style="10" customWidth="1"/>
    <col min="9977" max="9977" width="32.42578125" style="10" customWidth="1"/>
    <col min="9978" max="9978" width="9.85546875" style="10" customWidth="1"/>
    <col min="9979" max="9979" width="10.140625" style="10" customWidth="1"/>
    <col min="9980" max="9980" width="12.28515625" style="10" customWidth="1"/>
    <col min="9981" max="9981" width="15.42578125" style="10" customWidth="1"/>
    <col min="9982" max="9982" width="11.85546875" style="10" customWidth="1"/>
    <col min="9983" max="9983" width="13.28515625" style="10" customWidth="1"/>
    <col min="9984" max="9984" width="15.28515625" style="10" customWidth="1"/>
    <col min="9985" max="9985" width="11.85546875" style="10" customWidth="1"/>
    <col min="9986" max="9986" width="6.140625" style="10" customWidth="1"/>
    <col min="9987" max="9987" width="11.85546875" style="10" customWidth="1"/>
    <col min="9988" max="9988" width="9.42578125" style="10" customWidth="1"/>
    <col min="9989" max="9989" width="14.7109375" style="10" customWidth="1"/>
    <col min="9990" max="9990" width="11.5703125" style="10" customWidth="1"/>
    <col min="9991" max="9991" width="0.42578125" style="10" customWidth="1"/>
    <col min="9992" max="9992" width="10.5703125" style="10" bestFit="1" customWidth="1"/>
    <col min="9993" max="9993" width="12.28515625" style="10" customWidth="1"/>
    <col min="9994" max="9994" width="12.5703125" style="10" customWidth="1"/>
    <col min="9995" max="9995" width="10.5703125" style="10" customWidth="1"/>
    <col min="9996" max="9996" width="10.140625" style="10" customWidth="1"/>
    <col min="9997" max="9997" width="8.42578125" style="10" customWidth="1"/>
    <col min="9998" max="9998" width="18.85546875" style="10" customWidth="1"/>
    <col min="9999" max="9999" width="10.28515625" style="10" customWidth="1"/>
    <col min="10000" max="10000" width="11.42578125" style="10"/>
    <col min="10001" max="10001" width="12.140625" style="10" customWidth="1"/>
    <col min="10002" max="10002" width="10.5703125" style="10" customWidth="1"/>
    <col min="10003" max="10003" width="12.42578125" style="10" customWidth="1"/>
    <col min="10004" max="10004" width="15.140625" style="10" customWidth="1"/>
    <col min="10005" max="10005" width="13.5703125" style="10" customWidth="1"/>
    <col min="10006" max="10006" width="13.140625" style="10" customWidth="1"/>
    <col min="10007" max="10007" width="15.7109375" style="10" customWidth="1"/>
    <col min="10008" max="10008" width="37.5703125" style="10" customWidth="1"/>
    <col min="10009" max="10230" width="11.42578125" style="10"/>
    <col min="10231" max="10231" width="10.5703125" style="10" customWidth="1"/>
    <col min="10232" max="10232" width="4.85546875" style="10" customWidth="1"/>
    <col min="10233" max="10233" width="32.42578125" style="10" customWidth="1"/>
    <col min="10234" max="10234" width="9.85546875" style="10" customWidth="1"/>
    <col min="10235" max="10235" width="10.140625" style="10" customWidth="1"/>
    <col min="10236" max="10236" width="12.28515625" style="10" customWidth="1"/>
    <col min="10237" max="10237" width="15.42578125" style="10" customWidth="1"/>
    <col min="10238" max="10238" width="11.85546875" style="10" customWidth="1"/>
    <col min="10239" max="10239" width="13.28515625" style="10" customWidth="1"/>
    <col min="10240" max="10240" width="15.28515625" style="10" customWidth="1"/>
    <col min="10241" max="10241" width="11.85546875" style="10" customWidth="1"/>
    <col min="10242" max="10242" width="6.140625" style="10" customWidth="1"/>
    <col min="10243" max="10243" width="11.85546875" style="10" customWidth="1"/>
    <col min="10244" max="10244" width="9.42578125" style="10" customWidth="1"/>
    <col min="10245" max="10245" width="14.7109375" style="10" customWidth="1"/>
    <col min="10246" max="10246" width="11.5703125" style="10" customWidth="1"/>
    <col min="10247" max="10247" width="0.42578125" style="10" customWidth="1"/>
    <col min="10248" max="10248" width="10.5703125" style="10" bestFit="1" customWidth="1"/>
    <col min="10249" max="10249" width="12.28515625" style="10" customWidth="1"/>
    <col min="10250" max="10250" width="12.5703125" style="10" customWidth="1"/>
    <col min="10251" max="10251" width="10.5703125" style="10" customWidth="1"/>
    <col min="10252" max="10252" width="10.140625" style="10" customWidth="1"/>
    <col min="10253" max="10253" width="8.42578125" style="10" customWidth="1"/>
    <col min="10254" max="10254" width="18.85546875" style="10" customWidth="1"/>
    <col min="10255" max="10255" width="10.28515625" style="10" customWidth="1"/>
    <col min="10256" max="10256" width="11.42578125" style="10"/>
    <col min="10257" max="10257" width="12.140625" style="10" customWidth="1"/>
    <col min="10258" max="10258" width="10.5703125" style="10" customWidth="1"/>
    <col min="10259" max="10259" width="12.42578125" style="10" customWidth="1"/>
    <col min="10260" max="10260" width="15.140625" style="10" customWidth="1"/>
    <col min="10261" max="10261" width="13.5703125" style="10" customWidth="1"/>
    <col min="10262" max="10262" width="13.140625" style="10" customWidth="1"/>
    <col min="10263" max="10263" width="15.7109375" style="10" customWidth="1"/>
    <col min="10264" max="10264" width="37.5703125" style="10" customWidth="1"/>
    <col min="10265" max="10486" width="11.42578125" style="10"/>
    <col min="10487" max="10487" width="10.5703125" style="10" customWidth="1"/>
    <col min="10488" max="10488" width="4.85546875" style="10" customWidth="1"/>
    <col min="10489" max="10489" width="32.42578125" style="10" customWidth="1"/>
    <col min="10490" max="10490" width="9.85546875" style="10" customWidth="1"/>
    <col min="10491" max="10491" width="10.140625" style="10" customWidth="1"/>
    <col min="10492" max="10492" width="12.28515625" style="10" customWidth="1"/>
    <col min="10493" max="10493" width="15.42578125" style="10" customWidth="1"/>
    <col min="10494" max="10494" width="11.85546875" style="10" customWidth="1"/>
    <col min="10495" max="10495" width="13.28515625" style="10" customWidth="1"/>
    <col min="10496" max="10496" width="15.28515625" style="10" customWidth="1"/>
    <col min="10497" max="10497" width="11.85546875" style="10" customWidth="1"/>
    <col min="10498" max="10498" width="6.140625" style="10" customWidth="1"/>
    <col min="10499" max="10499" width="11.85546875" style="10" customWidth="1"/>
    <col min="10500" max="10500" width="9.42578125" style="10" customWidth="1"/>
    <col min="10501" max="10501" width="14.7109375" style="10" customWidth="1"/>
    <col min="10502" max="10502" width="11.5703125" style="10" customWidth="1"/>
    <col min="10503" max="10503" width="0.42578125" style="10" customWidth="1"/>
    <col min="10504" max="10504" width="10.5703125" style="10" bestFit="1" customWidth="1"/>
    <col min="10505" max="10505" width="12.28515625" style="10" customWidth="1"/>
    <col min="10506" max="10506" width="12.5703125" style="10" customWidth="1"/>
    <col min="10507" max="10507" width="10.5703125" style="10" customWidth="1"/>
    <col min="10508" max="10508" width="10.140625" style="10" customWidth="1"/>
    <col min="10509" max="10509" width="8.42578125" style="10" customWidth="1"/>
    <col min="10510" max="10510" width="18.85546875" style="10" customWidth="1"/>
    <col min="10511" max="10511" width="10.28515625" style="10" customWidth="1"/>
    <col min="10512" max="10512" width="11.42578125" style="10"/>
    <col min="10513" max="10513" width="12.140625" style="10" customWidth="1"/>
    <col min="10514" max="10514" width="10.5703125" style="10" customWidth="1"/>
    <col min="10515" max="10515" width="12.42578125" style="10" customWidth="1"/>
    <col min="10516" max="10516" width="15.140625" style="10" customWidth="1"/>
    <col min="10517" max="10517" width="13.5703125" style="10" customWidth="1"/>
    <col min="10518" max="10518" width="13.140625" style="10" customWidth="1"/>
    <col min="10519" max="10519" width="15.7109375" style="10" customWidth="1"/>
    <col min="10520" max="10520" width="37.5703125" style="10" customWidth="1"/>
    <col min="10521" max="10742" width="11.42578125" style="10"/>
    <col min="10743" max="10743" width="10.5703125" style="10" customWidth="1"/>
    <col min="10744" max="10744" width="4.85546875" style="10" customWidth="1"/>
    <col min="10745" max="10745" width="32.42578125" style="10" customWidth="1"/>
    <col min="10746" max="10746" width="9.85546875" style="10" customWidth="1"/>
    <col min="10747" max="10747" width="10.140625" style="10" customWidth="1"/>
    <col min="10748" max="10748" width="12.28515625" style="10" customWidth="1"/>
    <col min="10749" max="10749" width="15.42578125" style="10" customWidth="1"/>
    <col min="10750" max="10750" width="11.85546875" style="10" customWidth="1"/>
    <col min="10751" max="10751" width="13.28515625" style="10" customWidth="1"/>
    <col min="10752" max="10752" width="15.28515625" style="10" customWidth="1"/>
    <col min="10753" max="10753" width="11.85546875" style="10" customWidth="1"/>
    <col min="10754" max="10754" width="6.140625" style="10" customWidth="1"/>
    <col min="10755" max="10755" width="11.85546875" style="10" customWidth="1"/>
    <col min="10756" max="10756" width="9.42578125" style="10" customWidth="1"/>
    <col min="10757" max="10757" width="14.7109375" style="10" customWidth="1"/>
    <col min="10758" max="10758" width="11.5703125" style="10" customWidth="1"/>
    <col min="10759" max="10759" width="0.42578125" style="10" customWidth="1"/>
    <col min="10760" max="10760" width="10.5703125" style="10" bestFit="1" customWidth="1"/>
    <col min="10761" max="10761" width="12.28515625" style="10" customWidth="1"/>
    <col min="10762" max="10762" width="12.5703125" style="10" customWidth="1"/>
    <col min="10763" max="10763" width="10.5703125" style="10" customWidth="1"/>
    <col min="10764" max="10764" width="10.140625" style="10" customWidth="1"/>
    <col min="10765" max="10765" width="8.42578125" style="10" customWidth="1"/>
    <col min="10766" max="10766" width="18.85546875" style="10" customWidth="1"/>
    <col min="10767" max="10767" width="10.28515625" style="10" customWidth="1"/>
    <col min="10768" max="10768" width="11.42578125" style="10"/>
    <col min="10769" max="10769" width="12.140625" style="10" customWidth="1"/>
    <col min="10770" max="10770" width="10.5703125" style="10" customWidth="1"/>
    <col min="10771" max="10771" width="12.42578125" style="10" customWidth="1"/>
    <col min="10772" max="10772" width="15.140625" style="10" customWidth="1"/>
    <col min="10773" max="10773" width="13.5703125" style="10" customWidth="1"/>
    <col min="10774" max="10774" width="13.140625" style="10" customWidth="1"/>
    <col min="10775" max="10775" width="15.7109375" style="10" customWidth="1"/>
    <col min="10776" max="10776" width="37.5703125" style="10" customWidth="1"/>
    <col min="10777" max="10998" width="11.42578125" style="10"/>
    <col min="10999" max="10999" width="10.5703125" style="10" customWidth="1"/>
    <col min="11000" max="11000" width="4.85546875" style="10" customWidth="1"/>
    <col min="11001" max="11001" width="32.42578125" style="10" customWidth="1"/>
    <col min="11002" max="11002" width="9.85546875" style="10" customWidth="1"/>
    <col min="11003" max="11003" width="10.140625" style="10" customWidth="1"/>
    <col min="11004" max="11004" width="12.28515625" style="10" customWidth="1"/>
    <col min="11005" max="11005" width="15.42578125" style="10" customWidth="1"/>
    <col min="11006" max="11006" width="11.85546875" style="10" customWidth="1"/>
    <col min="11007" max="11007" width="13.28515625" style="10" customWidth="1"/>
    <col min="11008" max="11008" width="15.28515625" style="10" customWidth="1"/>
    <col min="11009" max="11009" width="11.85546875" style="10" customWidth="1"/>
    <col min="11010" max="11010" width="6.140625" style="10" customWidth="1"/>
    <col min="11011" max="11011" width="11.85546875" style="10" customWidth="1"/>
    <col min="11012" max="11012" width="9.42578125" style="10" customWidth="1"/>
    <col min="11013" max="11013" width="14.7109375" style="10" customWidth="1"/>
    <col min="11014" max="11014" width="11.5703125" style="10" customWidth="1"/>
    <col min="11015" max="11015" width="0.42578125" style="10" customWidth="1"/>
    <col min="11016" max="11016" width="10.5703125" style="10" bestFit="1" customWidth="1"/>
    <col min="11017" max="11017" width="12.28515625" style="10" customWidth="1"/>
    <col min="11018" max="11018" width="12.5703125" style="10" customWidth="1"/>
    <col min="11019" max="11019" width="10.5703125" style="10" customWidth="1"/>
    <col min="11020" max="11020" width="10.140625" style="10" customWidth="1"/>
    <col min="11021" max="11021" width="8.42578125" style="10" customWidth="1"/>
    <col min="11022" max="11022" width="18.85546875" style="10" customWidth="1"/>
    <col min="11023" max="11023" width="10.28515625" style="10" customWidth="1"/>
    <col min="11024" max="11024" width="11.42578125" style="10"/>
    <col min="11025" max="11025" width="12.140625" style="10" customWidth="1"/>
    <col min="11026" max="11026" width="10.5703125" style="10" customWidth="1"/>
    <col min="11027" max="11027" width="12.42578125" style="10" customWidth="1"/>
    <col min="11028" max="11028" width="15.140625" style="10" customWidth="1"/>
    <col min="11029" max="11029" width="13.5703125" style="10" customWidth="1"/>
    <col min="11030" max="11030" width="13.140625" style="10" customWidth="1"/>
    <col min="11031" max="11031" width="15.7109375" style="10" customWidth="1"/>
    <col min="11032" max="11032" width="37.5703125" style="10" customWidth="1"/>
    <col min="11033" max="11254" width="11.42578125" style="10"/>
    <col min="11255" max="11255" width="10.5703125" style="10" customWidth="1"/>
    <col min="11256" max="11256" width="4.85546875" style="10" customWidth="1"/>
    <col min="11257" max="11257" width="32.42578125" style="10" customWidth="1"/>
    <col min="11258" max="11258" width="9.85546875" style="10" customWidth="1"/>
    <col min="11259" max="11259" width="10.140625" style="10" customWidth="1"/>
    <col min="11260" max="11260" width="12.28515625" style="10" customWidth="1"/>
    <col min="11261" max="11261" width="15.42578125" style="10" customWidth="1"/>
    <col min="11262" max="11262" width="11.85546875" style="10" customWidth="1"/>
    <col min="11263" max="11263" width="13.28515625" style="10" customWidth="1"/>
    <col min="11264" max="11264" width="15.28515625" style="10" customWidth="1"/>
    <col min="11265" max="11265" width="11.85546875" style="10" customWidth="1"/>
    <col min="11266" max="11266" width="6.140625" style="10" customWidth="1"/>
    <col min="11267" max="11267" width="11.85546875" style="10" customWidth="1"/>
    <col min="11268" max="11268" width="9.42578125" style="10" customWidth="1"/>
    <col min="11269" max="11269" width="14.7109375" style="10" customWidth="1"/>
    <col min="11270" max="11270" width="11.5703125" style="10" customWidth="1"/>
    <col min="11271" max="11271" width="0.42578125" style="10" customWidth="1"/>
    <col min="11272" max="11272" width="10.5703125" style="10" bestFit="1" customWidth="1"/>
    <col min="11273" max="11273" width="12.28515625" style="10" customWidth="1"/>
    <col min="11274" max="11274" width="12.5703125" style="10" customWidth="1"/>
    <col min="11275" max="11275" width="10.5703125" style="10" customWidth="1"/>
    <col min="11276" max="11276" width="10.140625" style="10" customWidth="1"/>
    <col min="11277" max="11277" width="8.42578125" style="10" customWidth="1"/>
    <col min="11278" max="11278" width="18.85546875" style="10" customWidth="1"/>
    <col min="11279" max="11279" width="10.28515625" style="10" customWidth="1"/>
    <col min="11280" max="11280" width="11.42578125" style="10"/>
    <col min="11281" max="11281" width="12.140625" style="10" customWidth="1"/>
    <col min="11282" max="11282" width="10.5703125" style="10" customWidth="1"/>
    <col min="11283" max="11283" width="12.42578125" style="10" customWidth="1"/>
    <col min="11284" max="11284" width="15.140625" style="10" customWidth="1"/>
    <col min="11285" max="11285" width="13.5703125" style="10" customWidth="1"/>
    <col min="11286" max="11286" width="13.140625" style="10" customWidth="1"/>
    <col min="11287" max="11287" width="15.7109375" style="10" customWidth="1"/>
    <col min="11288" max="11288" width="37.5703125" style="10" customWidth="1"/>
    <col min="11289" max="11510" width="11.42578125" style="10"/>
    <col min="11511" max="11511" width="10.5703125" style="10" customWidth="1"/>
    <col min="11512" max="11512" width="4.85546875" style="10" customWidth="1"/>
    <col min="11513" max="11513" width="32.42578125" style="10" customWidth="1"/>
    <col min="11514" max="11514" width="9.85546875" style="10" customWidth="1"/>
    <col min="11515" max="11515" width="10.140625" style="10" customWidth="1"/>
    <col min="11516" max="11516" width="12.28515625" style="10" customWidth="1"/>
    <col min="11517" max="11517" width="15.42578125" style="10" customWidth="1"/>
    <col min="11518" max="11518" width="11.85546875" style="10" customWidth="1"/>
    <col min="11519" max="11519" width="13.28515625" style="10" customWidth="1"/>
    <col min="11520" max="11520" width="15.28515625" style="10" customWidth="1"/>
    <col min="11521" max="11521" width="11.85546875" style="10" customWidth="1"/>
    <col min="11522" max="11522" width="6.140625" style="10" customWidth="1"/>
    <col min="11523" max="11523" width="11.85546875" style="10" customWidth="1"/>
    <col min="11524" max="11524" width="9.42578125" style="10" customWidth="1"/>
    <col min="11525" max="11525" width="14.7109375" style="10" customWidth="1"/>
    <col min="11526" max="11526" width="11.5703125" style="10" customWidth="1"/>
    <col min="11527" max="11527" width="0.42578125" style="10" customWidth="1"/>
    <col min="11528" max="11528" width="10.5703125" style="10" bestFit="1" customWidth="1"/>
    <col min="11529" max="11529" width="12.28515625" style="10" customWidth="1"/>
    <col min="11530" max="11530" width="12.5703125" style="10" customWidth="1"/>
    <col min="11531" max="11531" width="10.5703125" style="10" customWidth="1"/>
    <col min="11532" max="11532" width="10.140625" style="10" customWidth="1"/>
    <col min="11533" max="11533" width="8.42578125" style="10" customWidth="1"/>
    <col min="11534" max="11534" width="18.85546875" style="10" customWidth="1"/>
    <col min="11535" max="11535" width="10.28515625" style="10" customWidth="1"/>
    <col min="11536" max="11536" width="11.42578125" style="10"/>
    <col min="11537" max="11537" width="12.140625" style="10" customWidth="1"/>
    <col min="11538" max="11538" width="10.5703125" style="10" customWidth="1"/>
    <col min="11539" max="11539" width="12.42578125" style="10" customWidth="1"/>
    <col min="11540" max="11540" width="15.140625" style="10" customWidth="1"/>
    <col min="11541" max="11541" width="13.5703125" style="10" customWidth="1"/>
    <col min="11542" max="11542" width="13.140625" style="10" customWidth="1"/>
    <col min="11543" max="11543" width="15.7109375" style="10" customWidth="1"/>
    <col min="11544" max="11544" width="37.5703125" style="10" customWidth="1"/>
    <col min="11545" max="11766" width="11.42578125" style="10"/>
    <col min="11767" max="11767" width="10.5703125" style="10" customWidth="1"/>
    <col min="11768" max="11768" width="4.85546875" style="10" customWidth="1"/>
    <col min="11769" max="11769" width="32.42578125" style="10" customWidth="1"/>
    <col min="11770" max="11770" width="9.85546875" style="10" customWidth="1"/>
    <col min="11771" max="11771" width="10.140625" style="10" customWidth="1"/>
    <col min="11772" max="11772" width="12.28515625" style="10" customWidth="1"/>
    <col min="11773" max="11773" width="15.42578125" style="10" customWidth="1"/>
    <col min="11774" max="11774" width="11.85546875" style="10" customWidth="1"/>
    <col min="11775" max="11775" width="13.28515625" style="10" customWidth="1"/>
    <col min="11776" max="11776" width="15.28515625" style="10" customWidth="1"/>
    <col min="11777" max="11777" width="11.85546875" style="10" customWidth="1"/>
    <col min="11778" max="11778" width="6.140625" style="10" customWidth="1"/>
    <col min="11779" max="11779" width="11.85546875" style="10" customWidth="1"/>
    <col min="11780" max="11780" width="9.42578125" style="10" customWidth="1"/>
    <col min="11781" max="11781" width="14.7109375" style="10" customWidth="1"/>
    <col min="11782" max="11782" width="11.5703125" style="10" customWidth="1"/>
    <col min="11783" max="11783" width="0.42578125" style="10" customWidth="1"/>
    <col min="11784" max="11784" width="10.5703125" style="10" bestFit="1" customWidth="1"/>
    <col min="11785" max="11785" width="12.28515625" style="10" customWidth="1"/>
    <col min="11786" max="11786" width="12.5703125" style="10" customWidth="1"/>
    <col min="11787" max="11787" width="10.5703125" style="10" customWidth="1"/>
    <col min="11788" max="11788" width="10.140625" style="10" customWidth="1"/>
    <col min="11789" max="11789" width="8.42578125" style="10" customWidth="1"/>
    <col min="11790" max="11790" width="18.85546875" style="10" customWidth="1"/>
    <col min="11791" max="11791" width="10.28515625" style="10" customWidth="1"/>
    <col min="11792" max="11792" width="11.42578125" style="10"/>
    <col min="11793" max="11793" width="12.140625" style="10" customWidth="1"/>
    <col min="11794" max="11794" width="10.5703125" style="10" customWidth="1"/>
    <col min="11795" max="11795" width="12.42578125" style="10" customWidth="1"/>
    <col min="11796" max="11796" width="15.140625" style="10" customWidth="1"/>
    <col min="11797" max="11797" width="13.5703125" style="10" customWidth="1"/>
    <col min="11798" max="11798" width="13.140625" style="10" customWidth="1"/>
    <col min="11799" max="11799" width="15.7109375" style="10" customWidth="1"/>
    <col min="11800" max="11800" width="37.5703125" style="10" customWidth="1"/>
    <col min="11801" max="12022" width="11.42578125" style="10"/>
    <col min="12023" max="12023" width="10.5703125" style="10" customWidth="1"/>
    <col min="12024" max="12024" width="4.85546875" style="10" customWidth="1"/>
    <col min="12025" max="12025" width="32.42578125" style="10" customWidth="1"/>
    <col min="12026" max="12026" width="9.85546875" style="10" customWidth="1"/>
    <col min="12027" max="12027" width="10.140625" style="10" customWidth="1"/>
    <col min="12028" max="12028" width="12.28515625" style="10" customWidth="1"/>
    <col min="12029" max="12029" width="15.42578125" style="10" customWidth="1"/>
    <col min="12030" max="12030" width="11.85546875" style="10" customWidth="1"/>
    <col min="12031" max="12031" width="13.28515625" style="10" customWidth="1"/>
    <col min="12032" max="12032" width="15.28515625" style="10" customWidth="1"/>
    <col min="12033" max="12033" width="11.85546875" style="10" customWidth="1"/>
    <col min="12034" max="12034" width="6.140625" style="10" customWidth="1"/>
    <col min="12035" max="12035" width="11.85546875" style="10" customWidth="1"/>
    <col min="12036" max="12036" width="9.42578125" style="10" customWidth="1"/>
    <col min="12037" max="12037" width="14.7109375" style="10" customWidth="1"/>
    <col min="12038" max="12038" width="11.5703125" style="10" customWidth="1"/>
    <col min="12039" max="12039" width="0.42578125" style="10" customWidth="1"/>
    <col min="12040" max="12040" width="10.5703125" style="10" bestFit="1" customWidth="1"/>
    <col min="12041" max="12041" width="12.28515625" style="10" customWidth="1"/>
    <col min="12042" max="12042" width="12.5703125" style="10" customWidth="1"/>
    <col min="12043" max="12043" width="10.5703125" style="10" customWidth="1"/>
    <col min="12044" max="12044" width="10.140625" style="10" customWidth="1"/>
    <col min="12045" max="12045" width="8.42578125" style="10" customWidth="1"/>
    <col min="12046" max="12046" width="18.85546875" style="10" customWidth="1"/>
    <col min="12047" max="12047" width="10.28515625" style="10" customWidth="1"/>
    <col min="12048" max="12048" width="11.42578125" style="10"/>
    <col min="12049" max="12049" width="12.140625" style="10" customWidth="1"/>
    <col min="12050" max="12050" width="10.5703125" style="10" customWidth="1"/>
    <col min="12051" max="12051" width="12.42578125" style="10" customWidth="1"/>
    <col min="12052" max="12052" width="15.140625" style="10" customWidth="1"/>
    <col min="12053" max="12053" width="13.5703125" style="10" customWidth="1"/>
    <col min="12054" max="12054" width="13.140625" style="10" customWidth="1"/>
    <col min="12055" max="12055" width="15.7109375" style="10" customWidth="1"/>
    <col min="12056" max="12056" width="37.5703125" style="10" customWidth="1"/>
    <col min="12057" max="12278" width="11.42578125" style="10"/>
    <col min="12279" max="12279" width="10.5703125" style="10" customWidth="1"/>
    <col min="12280" max="12280" width="4.85546875" style="10" customWidth="1"/>
    <col min="12281" max="12281" width="32.42578125" style="10" customWidth="1"/>
    <col min="12282" max="12282" width="9.85546875" style="10" customWidth="1"/>
    <col min="12283" max="12283" width="10.140625" style="10" customWidth="1"/>
    <col min="12284" max="12284" width="12.28515625" style="10" customWidth="1"/>
    <col min="12285" max="12285" width="15.42578125" style="10" customWidth="1"/>
    <col min="12286" max="12286" width="11.85546875" style="10" customWidth="1"/>
    <col min="12287" max="12287" width="13.28515625" style="10" customWidth="1"/>
    <col min="12288" max="12288" width="15.28515625" style="10" customWidth="1"/>
    <col min="12289" max="12289" width="11.85546875" style="10" customWidth="1"/>
    <col min="12290" max="12290" width="6.140625" style="10" customWidth="1"/>
    <col min="12291" max="12291" width="11.85546875" style="10" customWidth="1"/>
    <col min="12292" max="12292" width="9.42578125" style="10" customWidth="1"/>
    <col min="12293" max="12293" width="14.7109375" style="10" customWidth="1"/>
    <col min="12294" max="12294" width="11.5703125" style="10" customWidth="1"/>
    <col min="12295" max="12295" width="0.42578125" style="10" customWidth="1"/>
    <col min="12296" max="12296" width="10.5703125" style="10" bestFit="1" customWidth="1"/>
    <col min="12297" max="12297" width="12.28515625" style="10" customWidth="1"/>
    <col min="12298" max="12298" width="12.5703125" style="10" customWidth="1"/>
    <col min="12299" max="12299" width="10.5703125" style="10" customWidth="1"/>
    <col min="12300" max="12300" width="10.140625" style="10" customWidth="1"/>
    <col min="12301" max="12301" width="8.42578125" style="10" customWidth="1"/>
    <col min="12302" max="12302" width="18.85546875" style="10" customWidth="1"/>
    <col min="12303" max="12303" width="10.28515625" style="10" customWidth="1"/>
    <col min="12304" max="12304" width="11.42578125" style="10"/>
    <col min="12305" max="12305" width="12.140625" style="10" customWidth="1"/>
    <col min="12306" max="12306" width="10.5703125" style="10" customWidth="1"/>
    <col min="12307" max="12307" width="12.42578125" style="10" customWidth="1"/>
    <col min="12308" max="12308" width="15.140625" style="10" customWidth="1"/>
    <col min="12309" max="12309" width="13.5703125" style="10" customWidth="1"/>
    <col min="12310" max="12310" width="13.140625" style="10" customWidth="1"/>
    <col min="12311" max="12311" width="15.7109375" style="10" customWidth="1"/>
    <col min="12312" max="12312" width="37.5703125" style="10" customWidth="1"/>
    <col min="12313" max="12534" width="11.42578125" style="10"/>
    <col min="12535" max="12535" width="10.5703125" style="10" customWidth="1"/>
    <col min="12536" max="12536" width="4.85546875" style="10" customWidth="1"/>
    <col min="12537" max="12537" width="32.42578125" style="10" customWidth="1"/>
    <col min="12538" max="12538" width="9.85546875" style="10" customWidth="1"/>
    <col min="12539" max="12539" width="10.140625" style="10" customWidth="1"/>
    <col min="12540" max="12540" width="12.28515625" style="10" customWidth="1"/>
    <col min="12541" max="12541" width="15.42578125" style="10" customWidth="1"/>
    <col min="12542" max="12542" width="11.85546875" style="10" customWidth="1"/>
    <col min="12543" max="12543" width="13.28515625" style="10" customWidth="1"/>
    <col min="12544" max="12544" width="15.28515625" style="10" customWidth="1"/>
    <col min="12545" max="12545" width="11.85546875" style="10" customWidth="1"/>
    <col min="12546" max="12546" width="6.140625" style="10" customWidth="1"/>
    <col min="12547" max="12547" width="11.85546875" style="10" customWidth="1"/>
    <col min="12548" max="12548" width="9.42578125" style="10" customWidth="1"/>
    <col min="12549" max="12549" width="14.7109375" style="10" customWidth="1"/>
    <col min="12550" max="12550" width="11.5703125" style="10" customWidth="1"/>
    <col min="12551" max="12551" width="0.42578125" style="10" customWidth="1"/>
    <col min="12552" max="12552" width="10.5703125" style="10" bestFit="1" customWidth="1"/>
    <col min="12553" max="12553" width="12.28515625" style="10" customWidth="1"/>
    <col min="12554" max="12554" width="12.5703125" style="10" customWidth="1"/>
    <col min="12555" max="12555" width="10.5703125" style="10" customWidth="1"/>
    <col min="12556" max="12556" width="10.140625" style="10" customWidth="1"/>
    <col min="12557" max="12557" width="8.42578125" style="10" customWidth="1"/>
    <col min="12558" max="12558" width="18.85546875" style="10" customWidth="1"/>
    <col min="12559" max="12559" width="10.28515625" style="10" customWidth="1"/>
    <col min="12560" max="12560" width="11.42578125" style="10"/>
    <col min="12561" max="12561" width="12.140625" style="10" customWidth="1"/>
    <col min="12562" max="12562" width="10.5703125" style="10" customWidth="1"/>
    <col min="12563" max="12563" width="12.42578125" style="10" customWidth="1"/>
    <col min="12564" max="12564" width="15.140625" style="10" customWidth="1"/>
    <col min="12565" max="12565" width="13.5703125" style="10" customWidth="1"/>
    <col min="12566" max="12566" width="13.140625" style="10" customWidth="1"/>
    <col min="12567" max="12567" width="15.7109375" style="10" customWidth="1"/>
    <col min="12568" max="12568" width="37.5703125" style="10" customWidth="1"/>
    <col min="12569" max="12790" width="11.42578125" style="10"/>
    <col min="12791" max="12791" width="10.5703125" style="10" customWidth="1"/>
    <col min="12792" max="12792" width="4.85546875" style="10" customWidth="1"/>
    <col min="12793" max="12793" width="32.42578125" style="10" customWidth="1"/>
    <col min="12794" max="12794" width="9.85546875" style="10" customWidth="1"/>
    <col min="12795" max="12795" width="10.140625" style="10" customWidth="1"/>
    <col min="12796" max="12796" width="12.28515625" style="10" customWidth="1"/>
    <col min="12797" max="12797" width="15.42578125" style="10" customWidth="1"/>
    <col min="12798" max="12798" width="11.85546875" style="10" customWidth="1"/>
    <col min="12799" max="12799" width="13.28515625" style="10" customWidth="1"/>
    <col min="12800" max="12800" width="15.28515625" style="10" customWidth="1"/>
    <col min="12801" max="12801" width="11.85546875" style="10" customWidth="1"/>
    <col min="12802" max="12802" width="6.140625" style="10" customWidth="1"/>
    <col min="12803" max="12803" width="11.85546875" style="10" customWidth="1"/>
    <col min="12804" max="12804" width="9.42578125" style="10" customWidth="1"/>
    <col min="12805" max="12805" width="14.7109375" style="10" customWidth="1"/>
    <col min="12806" max="12806" width="11.5703125" style="10" customWidth="1"/>
    <col min="12807" max="12807" width="0.42578125" style="10" customWidth="1"/>
    <col min="12808" max="12808" width="10.5703125" style="10" bestFit="1" customWidth="1"/>
    <col min="12809" max="12809" width="12.28515625" style="10" customWidth="1"/>
    <col min="12810" max="12810" width="12.5703125" style="10" customWidth="1"/>
    <col min="12811" max="12811" width="10.5703125" style="10" customWidth="1"/>
    <col min="12812" max="12812" width="10.140625" style="10" customWidth="1"/>
    <col min="12813" max="12813" width="8.42578125" style="10" customWidth="1"/>
    <col min="12814" max="12814" width="18.85546875" style="10" customWidth="1"/>
    <col min="12815" max="12815" width="10.28515625" style="10" customWidth="1"/>
    <col min="12816" max="12816" width="11.42578125" style="10"/>
    <col min="12817" max="12817" width="12.140625" style="10" customWidth="1"/>
    <col min="12818" max="12818" width="10.5703125" style="10" customWidth="1"/>
    <col min="12819" max="12819" width="12.42578125" style="10" customWidth="1"/>
    <col min="12820" max="12820" width="15.140625" style="10" customWidth="1"/>
    <col min="12821" max="12821" width="13.5703125" style="10" customWidth="1"/>
    <col min="12822" max="12822" width="13.140625" style="10" customWidth="1"/>
    <col min="12823" max="12823" width="15.7109375" style="10" customWidth="1"/>
    <col min="12824" max="12824" width="37.5703125" style="10" customWidth="1"/>
    <col min="12825" max="13046" width="11.42578125" style="10"/>
    <col min="13047" max="13047" width="10.5703125" style="10" customWidth="1"/>
    <col min="13048" max="13048" width="4.85546875" style="10" customWidth="1"/>
    <col min="13049" max="13049" width="32.42578125" style="10" customWidth="1"/>
    <col min="13050" max="13050" width="9.85546875" style="10" customWidth="1"/>
    <col min="13051" max="13051" width="10.140625" style="10" customWidth="1"/>
    <col min="13052" max="13052" width="12.28515625" style="10" customWidth="1"/>
    <col min="13053" max="13053" width="15.42578125" style="10" customWidth="1"/>
    <col min="13054" max="13054" width="11.85546875" style="10" customWidth="1"/>
    <col min="13055" max="13055" width="13.28515625" style="10" customWidth="1"/>
    <col min="13056" max="13056" width="15.28515625" style="10" customWidth="1"/>
    <col min="13057" max="13057" width="11.85546875" style="10" customWidth="1"/>
    <col min="13058" max="13058" width="6.140625" style="10" customWidth="1"/>
    <col min="13059" max="13059" width="11.85546875" style="10" customWidth="1"/>
    <col min="13060" max="13060" width="9.42578125" style="10" customWidth="1"/>
    <col min="13061" max="13061" width="14.7109375" style="10" customWidth="1"/>
    <col min="13062" max="13062" width="11.5703125" style="10" customWidth="1"/>
    <col min="13063" max="13063" width="0.42578125" style="10" customWidth="1"/>
    <col min="13064" max="13064" width="10.5703125" style="10" bestFit="1" customWidth="1"/>
    <col min="13065" max="13065" width="12.28515625" style="10" customWidth="1"/>
    <col min="13066" max="13066" width="12.5703125" style="10" customWidth="1"/>
    <col min="13067" max="13067" width="10.5703125" style="10" customWidth="1"/>
    <col min="13068" max="13068" width="10.140625" style="10" customWidth="1"/>
    <col min="13069" max="13069" width="8.42578125" style="10" customWidth="1"/>
    <col min="13070" max="13070" width="18.85546875" style="10" customWidth="1"/>
    <col min="13071" max="13071" width="10.28515625" style="10" customWidth="1"/>
    <col min="13072" max="13072" width="11.42578125" style="10"/>
    <col min="13073" max="13073" width="12.140625" style="10" customWidth="1"/>
    <col min="13074" max="13074" width="10.5703125" style="10" customWidth="1"/>
    <col min="13075" max="13075" width="12.42578125" style="10" customWidth="1"/>
    <col min="13076" max="13076" width="15.140625" style="10" customWidth="1"/>
    <col min="13077" max="13077" width="13.5703125" style="10" customWidth="1"/>
    <col min="13078" max="13078" width="13.140625" style="10" customWidth="1"/>
    <col min="13079" max="13079" width="15.7109375" style="10" customWidth="1"/>
    <col min="13080" max="13080" width="37.5703125" style="10" customWidth="1"/>
    <col min="13081" max="13302" width="11.42578125" style="10"/>
    <col min="13303" max="13303" width="10.5703125" style="10" customWidth="1"/>
    <col min="13304" max="13304" width="4.85546875" style="10" customWidth="1"/>
    <col min="13305" max="13305" width="32.42578125" style="10" customWidth="1"/>
    <col min="13306" max="13306" width="9.85546875" style="10" customWidth="1"/>
    <col min="13307" max="13307" width="10.140625" style="10" customWidth="1"/>
    <col min="13308" max="13308" width="12.28515625" style="10" customWidth="1"/>
    <col min="13309" max="13309" width="15.42578125" style="10" customWidth="1"/>
    <col min="13310" max="13310" width="11.85546875" style="10" customWidth="1"/>
    <col min="13311" max="13311" width="13.28515625" style="10" customWidth="1"/>
    <col min="13312" max="13312" width="15.28515625" style="10" customWidth="1"/>
    <col min="13313" max="13313" width="11.85546875" style="10" customWidth="1"/>
    <col min="13314" max="13314" width="6.140625" style="10" customWidth="1"/>
    <col min="13315" max="13315" width="11.85546875" style="10" customWidth="1"/>
    <col min="13316" max="13316" width="9.42578125" style="10" customWidth="1"/>
    <col min="13317" max="13317" width="14.7109375" style="10" customWidth="1"/>
    <col min="13318" max="13318" width="11.5703125" style="10" customWidth="1"/>
    <col min="13319" max="13319" width="0.42578125" style="10" customWidth="1"/>
    <col min="13320" max="13320" width="10.5703125" style="10" bestFit="1" customWidth="1"/>
    <col min="13321" max="13321" width="12.28515625" style="10" customWidth="1"/>
    <col min="13322" max="13322" width="12.5703125" style="10" customWidth="1"/>
    <col min="13323" max="13323" width="10.5703125" style="10" customWidth="1"/>
    <col min="13324" max="13324" width="10.140625" style="10" customWidth="1"/>
    <col min="13325" max="13325" width="8.42578125" style="10" customWidth="1"/>
    <col min="13326" max="13326" width="18.85546875" style="10" customWidth="1"/>
    <col min="13327" max="13327" width="10.28515625" style="10" customWidth="1"/>
    <col min="13328" max="13328" width="11.42578125" style="10"/>
    <col min="13329" max="13329" width="12.140625" style="10" customWidth="1"/>
    <col min="13330" max="13330" width="10.5703125" style="10" customWidth="1"/>
    <col min="13331" max="13331" width="12.42578125" style="10" customWidth="1"/>
    <col min="13332" max="13332" width="15.140625" style="10" customWidth="1"/>
    <col min="13333" max="13333" width="13.5703125" style="10" customWidth="1"/>
    <col min="13334" max="13334" width="13.140625" style="10" customWidth="1"/>
    <col min="13335" max="13335" width="15.7109375" style="10" customWidth="1"/>
    <col min="13336" max="13336" width="37.5703125" style="10" customWidth="1"/>
    <col min="13337" max="13558" width="11.42578125" style="10"/>
    <col min="13559" max="13559" width="10.5703125" style="10" customWidth="1"/>
    <col min="13560" max="13560" width="4.85546875" style="10" customWidth="1"/>
    <col min="13561" max="13561" width="32.42578125" style="10" customWidth="1"/>
    <col min="13562" max="13562" width="9.85546875" style="10" customWidth="1"/>
    <col min="13563" max="13563" width="10.140625" style="10" customWidth="1"/>
    <col min="13564" max="13564" width="12.28515625" style="10" customWidth="1"/>
    <col min="13565" max="13565" width="15.42578125" style="10" customWidth="1"/>
    <col min="13566" max="13566" width="11.85546875" style="10" customWidth="1"/>
    <col min="13567" max="13567" width="13.28515625" style="10" customWidth="1"/>
    <col min="13568" max="13568" width="15.28515625" style="10" customWidth="1"/>
    <col min="13569" max="13569" width="11.85546875" style="10" customWidth="1"/>
    <col min="13570" max="13570" width="6.140625" style="10" customWidth="1"/>
    <col min="13571" max="13571" width="11.85546875" style="10" customWidth="1"/>
    <col min="13572" max="13572" width="9.42578125" style="10" customWidth="1"/>
    <col min="13573" max="13573" width="14.7109375" style="10" customWidth="1"/>
    <col min="13574" max="13574" width="11.5703125" style="10" customWidth="1"/>
    <col min="13575" max="13575" width="0.42578125" style="10" customWidth="1"/>
    <col min="13576" max="13576" width="10.5703125" style="10" bestFit="1" customWidth="1"/>
    <col min="13577" max="13577" width="12.28515625" style="10" customWidth="1"/>
    <col min="13578" max="13578" width="12.5703125" style="10" customWidth="1"/>
    <col min="13579" max="13579" width="10.5703125" style="10" customWidth="1"/>
    <col min="13580" max="13580" width="10.140625" style="10" customWidth="1"/>
    <col min="13581" max="13581" width="8.42578125" style="10" customWidth="1"/>
    <col min="13582" max="13582" width="18.85546875" style="10" customWidth="1"/>
    <col min="13583" max="13583" width="10.28515625" style="10" customWidth="1"/>
    <col min="13584" max="13584" width="11.42578125" style="10"/>
    <col min="13585" max="13585" width="12.140625" style="10" customWidth="1"/>
    <col min="13586" max="13586" width="10.5703125" style="10" customWidth="1"/>
    <col min="13587" max="13587" width="12.42578125" style="10" customWidth="1"/>
    <col min="13588" max="13588" width="15.140625" style="10" customWidth="1"/>
    <col min="13589" max="13589" width="13.5703125" style="10" customWidth="1"/>
    <col min="13590" max="13590" width="13.140625" style="10" customWidth="1"/>
    <col min="13591" max="13591" width="15.7109375" style="10" customWidth="1"/>
    <col min="13592" max="13592" width="37.5703125" style="10" customWidth="1"/>
    <col min="13593" max="13814" width="11.42578125" style="10"/>
    <col min="13815" max="13815" width="10.5703125" style="10" customWidth="1"/>
    <col min="13816" max="13816" width="4.85546875" style="10" customWidth="1"/>
    <col min="13817" max="13817" width="32.42578125" style="10" customWidth="1"/>
    <col min="13818" max="13818" width="9.85546875" style="10" customWidth="1"/>
    <col min="13819" max="13819" width="10.140625" style="10" customWidth="1"/>
    <col min="13820" max="13820" width="12.28515625" style="10" customWidth="1"/>
    <col min="13821" max="13821" width="15.42578125" style="10" customWidth="1"/>
    <col min="13822" max="13822" width="11.85546875" style="10" customWidth="1"/>
    <col min="13823" max="13823" width="13.28515625" style="10" customWidth="1"/>
    <col min="13824" max="13824" width="15.28515625" style="10" customWidth="1"/>
    <col min="13825" max="13825" width="11.85546875" style="10" customWidth="1"/>
    <col min="13826" max="13826" width="6.140625" style="10" customWidth="1"/>
    <col min="13827" max="13827" width="11.85546875" style="10" customWidth="1"/>
    <col min="13828" max="13828" width="9.42578125" style="10" customWidth="1"/>
    <col min="13829" max="13829" width="14.7109375" style="10" customWidth="1"/>
    <col min="13830" max="13830" width="11.5703125" style="10" customWidth="1"/>
    <col min="13831" max="13831" width="0.42578125" style="10" customWidth="1"/>
    <col min="13832" max="13832" width="10.5703125" style="10" bestFit="1" customWidth="1"/>
    <col min="13833" max="13833" width="12.28515625" style="10" customWidth="1"/>
    <col min="13834" max="13834" width="12.5703125" style="10" customWidth="1"/>
    <col min="13835" max="13835" width="10.5703125" style="10" customWidth="1"/>
    <col min="13836" max="13836" width="10.140625" style="10" customWidth="1"/>
    <col min="13837" max="13837" width="8.42578125" style="10" customWidth="1"/>
    <col min="13838" max="13838" width="18.85546875" style="10" customWidth="1"/>
    <col min="13839" max="13839" width="10.28515625" style="10" customWidth="1"/>
    <col min="13840" max="13840" width="11.42578125" style="10"/>
    <col min="13841" max="13841" width="12.140625" style="10" customWidth="1"/>
    <col min="13842" max="13842" width="10.5703125" style="10" customWidth="1"/>
    <col min="13843" max="13843" width="12.42578125" style="10" customWidth="1"/>
    <col min="13844" max="13844" width="15.140625" style="10" customWidth="1"/>
    <col min="13845" max="13845" width="13.5703125" style="10" customWidth="1"/>
    <col min="13846" max="13846" width="13.140625" style="10" customWidth="1"/>
    <col min="13847" max="13847" width="15.7109375" style="10" customWidth="1"/>
    <col min="13848" max="13848" width="37.5703125" style="10" customWidth="1"/>
    <col min="13849" max="14070" width="11.42578125" style="10"/>
    <col min="14071" max="14071" width="10.5703125" style="10" customWidth="1"/>
    <col min="14072" max="14072" width="4.85546875" style="10" customWidth="1"/>
    <col min="14073" max="14073" width="32.42578125" style="10" customWidth="1"/>
    <col min="14074" max="14074" width="9.85546875" style="10" customWidth="1"/>
    <col min="14075" max="14075" width="10.140625" style="10" customWidth="1"/>
    <col min="14076" max="14076" width="12.28515625" style="10" customWidth="1"/>
    <col min="14077" max="14077" width="15.42578125" style="10" customWidth="1"/>
    <col min="14078" max="14078" width="11.85546875" style="10" customWidth="1"/>
    <col min="14079" max="14079" width="13.28515625" style="10" customWidth="1"/>
    <col min="14080" max="14080" width="15.28515625" style="10" customWidth="1"/>
    <col min="14081" max="14081" width="11.85546875" style="10" customWidth="1"/>
    <col min="14082" max="14082" width="6.140625" style="10" customWidth="1"/>
    <col min="14083" max="14083" width="11.85546875" style="10" customWidth="1"/>
    <col min="14084" max="14084" width="9.42578125" style="10" customWidth="1"/>
    <col min="14085" max="14085" width="14.7109375" style="10" customWidth="1"/>
    <col min="14086" max="14086" width="11.5703125" style="10" customWidth="1"/>
    <col min="14087" max="14087" width="0.42578125" style="10" customWidth="1"/>
    <col min="14088" max="14088" width="10.5703125" style="10" bestFit="1" customWidth="1"/>
    <col min="14089" max="14089" width="12.28515625" style="10" customWidth="1"/>
    <col min="14090" max="14090" width="12.5703125" style="10" customWidth="1"/>
    <col min="14091" max="14091" width="10.5703125" style="10" customWidth="1"/>
    <col min="14092" max="14092" width="10.140625" style="10" customWidth="1"/>
    <col min="14093" max="14093" width="8.42578125" style="10" customWidth="1"/>
    <col min="14094" max="14094" width="18.85546875" style="10" customWidth="1"/>
    <col min="14095" max="14095" width="10.28515625" style="10" customWidth="1"/>
    <col min="14096" max="14096" width="11.42578125" style="10"/>
    <col min="14097" max="14097" width="12.140625" style="10" customWidth="1"/>
    <col min="14098" max="14098" width="10.5703125" style="10" customWidth="1"/>
    <col min="14099" max="14099" width="12.42578125" style="10" customWidth="1"/>
    <col min="14100" max="14100" width="15.140625" style="10" customWidth="1"/>
    <col min="14101" max="14101" width="13.5703125" style="10" customWidth="1"/>
    <col min="14102" max="14102" width="13.140625" style="10" customWidth="1"/>
    <col min="14103" max="14103" width="15.7109375" style="10" customWidth="1"/>
    <col min="14104" max="14104" width="37.5703125" style="10" customWidth="1"/>
    <col min="14105" max="14326" width="11.42578125" style="10"/>
    <col min="14327" max="14327" width="10.5703125" style="10" customWidth="1"/>
    <col min="14328" max="14328" width="4.85546875" style="10" customWidth="1"/>
    <col min="14329" max="14329" width="32.42578125" style="10" customWidth="1"/>
    <col min="14330" max="14330" width="9.85546875" style="10" customWidth="1"/>
    <col min="14331" max="14331" width="10.140625" style="10" customWidth="1"/>
    <col min="14332" max="14332" width="12.28515625" style="10" customWidth="1"/>
    <col min="14333" max="14333" width="15.42578125" style="10" customWidth="1"/>
    <col min="14334" max="14334" width="11.85546875" style="10" customWidth="1"/>
    <col min="14335" max="14335" width="13.28515625" style="10" customWidth="1"/>
    <col min="14336" max="14336" width="15.28515625" style="10" customWidth="1"/>
    <col min="14337" max="14337" width="11.85546875" style="10" customWidth="1"/>
    <col min="14338" max="14338" width="6.140625" style="10" customWidth="1"/>
    <col min="14339" max="14339" width="11.85546875" style="10" customWidth="1"/>
    <col min="14340" max="14340" width="9.42578125" style="10" customWidth="1"/>
    <col min="14341" max="14341" width="14.7109375" style="10" customWidth="1"/>
    <col min="14342" max="14342" width="11.5703125" style="10" customWidth="1"/>
    <col min="14343" max="14343" width="0.42578125" style="10" customWidth="1"/>
    <col min="14344" max="14344" width="10.5703125" style="10" bestFit="1" customWidth="1"/>
    <col min="14345" max="14345" width="12.28515625" style="10" customWidth="1"/>
    <col min="14346" max="14346" width="12.5703125" style="10" customWidth="1"/>
    <col min="14347" max="14347" width="10.5703125" style="10" customWidth="1"/>
    <col min="14348" max="14348" width="10.140625" style="10" customWidth="1"/>
    <col min="14349" max="14349" width="8.42578125" style="10" customWidth="1"/>
    <col min="14350" max="14350" width="18.85546875" style="10" customWidth="1"/>
    <col min="14351" max="14351" width="10.28515625" style="10" customWidth="1"/>
    <col min="14352" max="14352" width="11.42578125" style="10"/>
    <col min="14353" max="14353" width="12.140625" style="10" customWidth="1"/>
    <col min="14354" max="14354" width="10.5703125" style="10" customWidth="1"/>
    <col min="14355" max="14355" width="12.42578125" style="10" customWidth="1"/>
    <col min="14356" max="14356" width="15.140625" style="10" customWidth="1"/>
    <col min="14357" max="14357" width="13.5703125" style="10" customWidth="1"/>
    <col min="14358" max="14358" width="13.140625" style="10" customWidth="1"/>
    <col min="14359" max="14359" width="15.7109375" style="10" customWidth="1"/>
    <col min="14360" max="14360" width="37.5703125" style="10" customWidth="1"/>
    <col min="14361" max="14582" width="11.42578125" style="10"/>
    <col min="14583" max="14583" width="10.5703125" style="10" customWidth="1"/>
    <col min="14584" max="14584" width="4.85546875" style="10" customWidth="1"/>
    <col min="14585" max="14585" width="32.42578125" style="10" customWidth="1"/>
    <col min="14586" max="14586" width="9.85546875" style="10" customWidth="1"/>
    <col min="14587" max="14587" width="10.140625" style="10" customWidth="1"/>
    <col min="14588" max="14588" width="12.28515625" style="10" customWidth="1"/>
    <col min="14589" max="14589" width="15.42578125" style="10" customWidth="1"/>
    <col min="14590" max="14590" width="11.85546875" style="10" customWidth="1"/>
    <col min="14591" max="14591" width="13.28515625" style="10" customWidth="1"/>
    <col min="14592" max="14592" width="15.28515625" style="10" customWidth="1"/>
    <col min="14593" max="14593" width="11.85546875" style="10" customWidth="1"/>
    <col min="14594" max="14594" width="6.140625" style="10" customWidth="1"/>
    <col min="14595" max="14595" width="11.85546875" style="10" customWidth="1"/>
    <col min="14596" max="14596" width="9.42578125" style="10" customWidth="1"/>
    <col min="14597" max="14597" width="14.7109375" style="10" customWidth="1"/>
    <col min="14598" max="14598" width="11.5703125" style="10" customWidth="1"/>
    <col min="14599" max="14599" width="0.42578125" style="10" customWidth="1"/>
    <col min="14600" max="14600" width="10.5703125" style="10" bestFit="1" customWidth="1"/>
    <col min="14601" max="14601" width="12.28515625" style="10" customWidth="1"/>
    <col min="14602" max="14602" width="12.5703125" style="10" customWidth="1"/>
    <col min="14603" max="14603" width="10.5703125" style="10" customWidth="1"/>
    <col min="14604" max="14604" width="10.140625" style="10" customWidth="1"/>
    <col min="14605" max="14605" width="8.42578125" style="10" customWidth="1"/>
    <col min="14606" max="14606" width="18.85546875" style="10" customWidth="1"/>
    <col min="14607" max="14607" width="10.28515625" style="10" customWidth="1"/>
    <col min="14608" max="14608" width="11.42578125" style="10"/>
    <col min="14609" max="14609" width="12.140625" style="10" customWidth="1"/>
    <col min="14610" max="14610" width="10.5703125" style="10" customWidth="1"/>
    <col min="14611" max="14611" width="12.42578125" style="10" customWidth="1"/>
    <col min="14612" max="14612" width="15.140625" style="10" customWidth="1"/>
    <col min="14613" max="14613" width="13.5703125" style="10" customWidth="1"/>
    <col min="14614" max="14614" width="13.140625" style="10" customWidth="1"/>
    <col min="14615" max="14615" width="15.7109375" style="10" customWidth="1"/>
    <col min="14616" max="14616" width="37.5703125" style="10" customWidth="1"/>
    <col min="14617" max="14838" width="11.42578125" style="10"/>
    <col min="14839" max="14839" width="10.5703125" style="10" customWidth="1"/>
    <col min="14840" max="14840" width="4.85546875" style="10" customWidth="1"/>
    <col min="14841" max="14841" width="32.42578125" style="10" customWidth="1"/>
    <col min="14842" max="14842" width="9.85546875" style="10" customWidth="1"/>
    <col min="14843" max="14843" width="10.140625" style="10" customWidth="1"/>
    <col min="14844" max="14844" width="12.28515625" style="10" customWidth="1"/>
    <col min="14845" max="14845" width="15.42578125" style="10" customWidth="1"/>
    <col min="14846" max="14846" width="11.85546875" style="10" customWidth="1"/>
    <col min="14847" max="14847" width="13.28515625" style="10" customWidth="1"/>
    <col min="14848" max="14848" width="15.28515625" style="10" customWidth="1"/>
    <col min="14849" max="14849" width="11.85546875" style="10" customWidth="1"/>
    <col min="14850" max="14850" width="6.140625" style="10" customWidth="1"/>
    <col min="14851" max="14851" width="11.85546875" style="10" customWidth="1"/>
    <col min="14852" max="14852" width="9.42578125" style="10" customWidth="1"/>
    <col min="14853" max="14853" width="14.7109375" style="10" customWidth="1"/>
    <col min="14854" max="14854" width="11.5703125" style="10" customWidth="1"/>
    <col min="14855" max="14855" width="0.42578125" style="10" customWidth="1"/>
    <col min="14856" max="14856" width="10.5703125" style="10" bestFit="1" customWidth="1"/>
    <col min="14857" max="14857" width="12.28515625" style="10" customWidth="1"/>
    <col min="14858" max="14858" width="12.5703125" style="10" customWidth="1"/>
    <col min="14859" max="14859" width="10.5703125" style="10" customWidth="1"/>
    <col min="14860" max="14860" width="10.140625" style="10" customWidth="1"/>
    <col min="14861" max="14861" width="8.42578125" style="10" customWidth="1"/>
    <col min="14862" max="14862" width="18.85546875" style="10" customWidth="1"/>
    <col min="14863" max="14863" width="10.28515625" style="10" customWidth="1"/>
    <col min="14864" max="14864" width="11.42578125" style="10"/>
    <col min="14865" max="14865" width="12.140625" style="10" customWidth="1"/>
    <col min="14866" max="14866" width="10.5703125" style="10" customWidth="1"/>
    <col min="14867" max="14867" width="12.42578125" style="10" customWidth="1"/>
    <col min="14868" max="14868" width="15.140625" style="10" customWidth="1"/>
    <col min="14869" max="14869" width="13.5703125" style="10" customWidth="1"/>
    <col min="14870" max="14870" width="13.140625" style="10" customWidth="1"/>
    <col min="14871" max="14871" width="15.7109375" style="10" customWidth="1"/>
    <col min="14872" max="14872" width="37.5703125" style="10" customWidth="1"/>
    <col min="14873" max="15094" width="11.42578125" style="10"/>
    <col min="15095" max="15095" width="10.5703125" style="10" customWidth="1"/>
    <col min="15096" max="15096" width="4.85546875" style="10" customWidth="1"/>
    <col min="15097" max="15097" width="32.42578125" style="10" customWidth="1"/>
    <col min="15098" max="15098" width="9.85546875" style="10" customWidth="1"/>
    <col min="15099" max="15099" width="10.140625" style="10" customWidth="1"/>
    <col min="15100" max="15100" width="12.28515625" style="10" customWidth="1"/>
    <col min="15101" max="15101" width="15.42578125" style="10" customWidth="1"/>
    <col min="15102" max="15102" width="11.85546875" style="10" customWidth="1"/>
    <col min="15103" max="15103" width="13.28515625" style="10" customWidth="1"/>
    <col min="15104" max="15104" width="15.28515625" style="10" customWidth="1"/>
    <col min="15105" max="15105" width="11.85546875" style="10" customWidth="1"/>
    <col min="15106" max="15106" width="6.140625" style="10" customWidth="1"/>
    <col min="15107" max="15107" width="11.85546875" style="10" customWidth="1"/>
    <col min="15108" max="15108" width="9.42578125" style="10" customWidth="1"/>
    <col min="15109" max="15109" width="14.7109375" style="10" customWidth="1"/>
    <col min="15110" max="15110" width="11.5703125" style="10" customWidth="1"/>
    <col min="15111" max="15111" width="0.42578125" style="10" customWidth="1"/>
    <col min="15112" max="15112" width="10.5703125" style="10" bestFit="1" customWidth="1"/>
    <col min="15113" max="15113" width="12.28515625" style="10" customWidth="1"/>
    <col min="15114" max="15114" width="12.5703125" style="10" customWidth="1"/>
    <col min="15115" max="15115" width="10.5703125" style="10" customWidth="1"/>
    <col min="15116" max="15116" width="10.140625" style="10" customWidth="1"/>
    <col min="15117" max="15117" width="8.42578125" style="10" customWidth="1"/>
    <col min="15118" max="15118" width="18.85546875" style="10" customWidth="1"/>
    <col min="15119" max="15119" width="10.28515625" style="10" customWidth="1"/>
    <col min="15120" max="15120" width="11.42578125" style="10"/>
    <col min="15121" max="15121" width="12.140625" style="10" customWidth="1"/>
    <col min="15122" max="15122" width="10.5703125" style="10" customWidth="1"/>
    <col min="15123" max="15123" width="12.42578125" style="10" customWidth="1"/>
    <col min="15124" max="15124" width="15.140625" style="10" customWidth="1"/>
    <col min="15125" max="15125" width="13.5703125" style="10" customWidth="1"/>
    <col min="15126" max="15126" width="13.140625" style="10" customWidth="1"/>
    <col min="15127" max="15127" width="15.7109375" style="10" customWidth="1"/>
    <col min="15128" max="15128" width="37.5703125" style="10" customWidth="1"/>
    <col min="15129" max="15350" width="11.42578125" style="10"/>
    <col min="15351" max="15351" width="10.5703125" style="10" customWidth="1"/>
    <col min="15352" max="15352" width="4.85546875" style="10" customWidth="1"/>
    <col min="15353" max="15353" width="32.42578125" style="10" customWidth="1"/>
    <col min="15354" max="15354" width="9.85546875" style="10" customWidth="1"/>
    <col min="15355" max="15355" width="10.140625" style="10" customWidth="1"/>
    <col min="15356" max="15356" width="12.28515625" style="10" customWidth="1"/>
    <col min="15357" max="15357" width="15.42578125" style="10" customWidth="1"/>
    <col min="15358" max="15358" width="11.85546875" style="10" customWidth="1"/>
    <col min="15359" max="15359" width="13.28515625" style="10" customWidth="1"/>
    <col min="15360" max="15360" width="15.28515625" style="10" customWidth="1"/>
    <col min="15361" max="15361" width="11.85546875" style="10" customWidth="1"/>
    <col min="15362" max="15362" width="6.140625" style="10" customWidth="1"/>
    <col min="15363" max="15363" width="11.85546875" style="10" customWidth="1"/>
    <col min="15364" max="15364" width="9.42578125" style="10" customWidth="1"/>
    <col min="15365" max="15365" width="14.7109375" style="10" customWidth="1"/>
    <col min="15366" max="15366" width="11.5703125" style="10" customWidth="1"/>
    <col min="15367" max="15367" width="0.42578125" style="10" customWidth="1"/>
    <col min="15368" max="15368" width="10.5703125" style="10" bestFit="1" customWidth="1"/>
    <col min="15369" max="15369" width="12.28515625" style="10" customWidth="1"/>
    <col min="15370" max="15370" width="12.5703125" style="10" customWidth="1"/>
    <col min="15371" max="15371" width="10.5703125" style="10" customWidth="1"/>
    <col min="15372" max="15372" width="10.140625" style="10" customWidth="1"/>
    <col min="15373" max="15373" width="8.42578125" style="10" customWidth="1"/>
    <col min="15374" max="15374" width="18.85546875" style="10" customWidth="1"/>
    <col min="15375" max="15375" width="10.28515625" style="10" customWidth="1"/>
    <col min="15376" max="15376" width="11.42578125" style="10"/>
    <col min="15377" max="15377" width="12.140625" style="10" customWidth="1"/>
    <col min="15378" max="15378" width="10.5703125" style="10" customWidth="1"/>
    <col min="15379" max="15379" width="12.42578125" style="10" customWidth="1"/>
    <col min="15380" max="15380" width="15.140625" style="10" customWidth="1"/>
    <col min="15381" max="15381" width="13.5703125" style="10" customWidth="1"/>
    <col min="15382" max="15382" width="13.140625" style="10" customWidth="1"/>
    <col min="15383" max="15383" width="15.7109375" style="10" customWidth="1"/>
    <col min="15384" max="15384" width="37.5703125" style="10" customWidth="1"/>
    <col min="15385" max="15606" width="11.42578125" style="10"/>
    <col min="15607" max="15607" width="10.5703125" style="10" customWidth="1"/>
    <col min="15608" max="15608" width="4.85546875" style="10" customWidth="1"/>
    <col min="15609" max="15609" width="32.42578125" style="10" customWidth="1"/>
    <col min="15610" max="15610" width="9.85546875" style="10" customWidth="1"/>
    <col min="15611" max="15611" width="10.140625" style="10" customWidth="1"/>
    <col min="15612" max="15612" width="12.28515625" style="10" customWidth="1"/>
    <col min="15613" max="15613" width="15.42578125" style="10" customWidth="1"/>
    <col min="15614" max="15614" width="11.85546875" style="10" customWidth="1"/>
    <col min="15615" max="15615" width="13.28515625" style="10" customWidth="1"/>
    <col min="15616" max="15616" width="15.28515625" style="10" customWidth="1"/>
    <col min="15617" max="15617" width="11.85546875" style="10" customWidth="1"/>
    <col min="15618" max="15618" width="6.140625" style="10" customWidth="1"/>
    <col min="15619" max="15619" width="11.85546875" style="10" customWidth="1"/>
    <col min="15620" max="15620" width="9.42578125" style="10" customWidth="1"/>
    <col min="15621" max="15621" width="14.7109375" style="10" customWidth="1"/>
    <col min="15622" max="15622" width="11.5703125" style="10" customWidth="1"/>
    <col min="15623" max="15623" width="0.42578125" style="10" customWidth="1"/>
    <col min="15624" max="15624" width="10.5703125" style="10" bestFit="1" customWidth="1"/>
    <col min="15625" max="15625" width="12.28515625" style="10" customWidth="1"/>
    <col min="15626" max="15626" width="12.5703125" style="10" customWidth="1"/>
    <col min="15627" max="15627" width="10.5703125" style="10" customWidth="1"/>
    <col min="15628" max="15628" width="10.140625" style="10" customWidth="1"/>
    <col min="15629" max="15629" width="8.42578125" style="10" customWidth="1"/>
    <col min="15630" max="15630" width="18.85546875" style="10" customWidth="1"/>
    <col min="15631" max="15631" width="10.28515625" style="10" customWidth="1"/>
    <col min="15632" max="15632" width="11.42578125" style="10"/>
    <col min="15633" max="15633" width="12.140625" style="10" customWidth="1"/>
    <col min="15634" max="15634" width="10.5703125" style="10" customWidth="1"/>
    <col min="15635" max="15635" width="12.42578125" style="10" customWidth="1"/>
    <col min="15636" max="15636" width="15.140625" style="10" customWidth="1"/>
    <col min="15637" max="15637" width="13.5703125" style="10" customWidth="1"/>
    <col min="15638" max="15638" width="13.140625" style="10" customWidth="1"/>
    <col min="15639" max="15639" width="15.7109375" style="10" customWidth="1"/>
    <col min="15640" max="15640" width="37.5703125" style="10" customWidth="1"/>
    <col min="15641" max="15862" width="11.42578125" style="10"/>
    <col min="15863" max="15863" width="10.5703125" style="10" customWidth="1"/>
    <col min="15864" max="15864" width="4.85546875" style="10" customWidth="1"/>
    <col min="15865" max="15865" width="32.42578125" style="10" customWidth="1"/>
    <col min="15866" max="15866" width="9.85546875" style="10" customWidth="1"/>
    <col min="15867" max="15867" width="10.140625" style="10" customWidth="1"/>
    <col min="15868" max="15868" width="12.28515625" style="10" customWidth="1"/>
    <col min="15869" max="15869" width="15.42578125" style="10" customWidth="1"/>
    <col min="15870" max="15870" width="11.85546875" style="10" customWidth="1"/>
    <col min="15871" max="15871" width="13.28515625" style="10" customWidth="1"/>
    <col min="15872" max="15872" width="15.28515625" style="10" customWidth="1"/>
    <col min="15873" max="15873" width="11.85546875" style="10" customWidth="1"/>
    <col min="15874" max="15874" width="6.140625" style="10" customWidth="1"/>
    <col min="15875" max="15875" width="11.85546875" style="10" customWidth="1"/>
    <col min="15876" max="15876" width="9.42578125" style="10" customWidth="1"/>
    <col min="15877" max="15877" width="14.7109375" style="10" customWidth="1"/>
    <col min="15878" max="15878" width="11.5703125" style="10" customWidth="1"/>
    <col min="15879" max="15879" width="0.42578125" style="10" customWidth="1"/>
    <col min="15880" max="15880" width="10.5703125" style="10" bestFit="1" customWidth="1"/>
    <col min="15881" max="15881" width="12.28515625" style="10" customWidth="1"/>
    <col min="15882" max="15882" width="12.5703125" style="10" customWidth="1"/>
    <col min="15883" max="15883" width="10.5703125" style="10" customWidth="1"/>
    <col min="15884" max="15884" width="10.140625" style="10" customWidth="1"/>
    <col min="15885" max="15885" width="8.42578125" style="10" customWidth="1"/>
    <col min="15886" max="15886" width="18.85546875" style="10" customWidth="1"/>
    <col min="15887" max="15887" width="10.28515625" style="10" customWidth="1"/>
    <col min="15888" max="15888" width="11.42578125" style="10"/>
    <col min="15889" max="15889" width="12.140625" style="10" customWidth="1"/>
    <col min="15890" max="15890" width="10.5703125" style="10" customWidth="1"/>
    <col min="15891" max="15891" width="12.42578125" style="10" customWidth="1"/>
    <col min="15892" max="15892" width="15.140625" style="10" customWidth="1"/>
    <col min="15893" max="15893" width="13.5703125" style="10" customWidth="1"/>
    <col min="15894" max="15894" width="13.140625" style="10" customWidth="1"/>
    <col min="15895" max="15895" width="15.7109375" style="10" customWidth="1"/>
    <col min="15896" max="15896" width="37.5703125" style="10" customWidth="1"/>
    <col min="15897" max="16118" width="11.42578125" style="10"/>
    <col min="16119" max="16119" width="10.5703125" style="10" customWidth="1"/>
    <col min="16120" max="16120" width="4.85546875" style="10" customWidth="1"/>
    <col min="16121" max="16121" width="32.42578125" style="10" customWidth="1"/>
    <col min="16122" max="16122" width="9.85546875" style="10" customWidth="1"/>
    <col min="16123" max="16123" width="10.140625" style="10" customWidth="1"/>
    <col min="16124" max="16124" width="12.28515625" style="10" customWidth="1"/>
    <col min="16125" max="16125" width="15.42578125" style="10" customWidth="1"/>
    <col min="16126" max="16126" width="11.85546875" style="10" customWidth="1"/>
    <col min="16127" max="16127" width="13.28515625" style="10" customWidth="1"/>
    <col min="16128" max="16128" width="15.28515625" style="10" customWidth="1"/>
    <col min="16129" max="16129" width="11.85546875" style="10" customWidth="1"/>
    <col min="16130" max="16130" width="6.140625" style="10" customWidth="1"/>
    <col min="16131" max="16131" width="11.85546875" style="10" customWidth="1"/>
    <col min="16132" max="16132" width="9.42578125" style="10" customWidth="1"/>
    <col min="16133" max="16133" width="14.7109375" style="10" customWidth="1"/>
    <col min="16134" max="16134" width="11.5703125" style="10" customWidth="1"/>
    <col min="16135" max="16135" width="0.42578125" style="10" customWidth="1"/>
    <col min="16136" max="16136" width="10.5703125" style="10" bestFit="1" customWidth="1"/>
    <col min="16137" max="16137" width="12.28515625" style="10" customWidth="1"/>
    <col min="16138" max="16138" width="12.5703125" style="10" customWidth="1"/>
    <col min="16139" max="16139" width="10.5703125" style="10" customWidth="1"/>
    <col min="16140" max="16140" width="10.140625" style="10" customWidth="1"/>
    <col min="16141" max="16141" width="8.42578125" style="10" customWidth="1"/>
    <col min="16142" max="16142" width="18.85546875" style="10" customWidth="1"/>
    <col min="16143" max="16143" width="10.28515625" style="10" customWidth="1"/>
    <col min="16144" max="16144" width="11.42578125" style="10"/>
    <col min="16145" max="16145" width="12.140625" style="10" customWidth="1"/>
    <col min="16146" max="16146" width="10.5703125" style="10" customWidth="1"/>
    <col min="16147" max="16147" width="12.42578125" style="10" customWidth="1"/>
    <col min="16148" max="16148" width="15.140625" style="10" customWidth="1"/>
    <col min="16149" max="16149" width="13.5703125" style="10" customWidth="1"/>
    <col min="16150" max="16150" width="13.140625" style="10" customWidth="1"/>
    <col min="16151" max="16151" width="15.7109375" style="10" customWidth="1"/>
    <col min="16152" max="16152" width="37.5703125" style="10" customWidth="1"/>
    <col min="16153" max="16384" width="11.42578125" style="10"/>
  </cols>
  <sheetData>
    <row r="1" spans="1:24" x14ac:dyDescent="0.25">
      <c r="C1" s="100" t="s">
        <v>161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3"/>
      <c r="W1" s="9"/>
      <c r="X1" s="13"/>
    </row>
    <row r="2" spans="1:24" x14ac:dyDescent="0.25">
      <c r="C2" s="72" t="s">
        <v>1</v>
      </c>
      <c r="D2" s="13"/>
      <c r="E2" s="101" t="s">
        <v>2</v>
      </c>
      <c r="F2" s="101"/>
      <c r="G2" s="101"/>
      <c r="H2" s="101"/>
      <c r="I2" s="101"/>
      <c r="J2" s="101"/>
      <c r="K2" s="101"/>
      <c r="L2" s="101" t="s">
        <v>3</v>
      </c>
      <c r="M2" s="101"/>
      <c r="N2" s="101"/>
      <c r="O2" s="101"/>
      <c r="P2" s="101"/>
      <c r="Q2" s="101"/>
      <c r="R2" s="101"/>
      <c r="S2" s="101"/>
      <c r="T2" s="101"/>
      <c r="U2" s="13"/>
      <c r="V2" s="13"/>
      <c r="W2" s="9"/>
      <c r="X2" s="13"/>
    </row>
    <row r="3" spans="1:24" ht="36" x14ac:dyDescent="0.25">
      <c r="A3" s="102" t="s">
        <v>4</v>
      </c>
      <c r="B3" s="14" t="s">
        <v>5</v>
      </c>
      <c r="C3" s="14" t="s">
        <v>6</v>
      </c>
      <c r="D3" s="14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5" t="s">
        <v>12</v>
      </c>
      <c r="J3" s="15" t="s">
        <v>162</v>
      </c>
      <c r="K3" s="15" t="s">
        <v>14</v>
      </c>
      <c r="L3" s="15" t="s">
        <v>15</v>
      </c>
      <c r="M3" s="15" t="s">
        <v>16</v>
      </c>
      <c r="N3" s="15" t="s">
        <v>17</v>
      </c>
      <c r="O3" s="15" t="s">
        <v>147</v>
      </c>
      <c r="P3" s="15" t="s">
        <v>19</v>
      </c>
      <c r="Q3" s="15" t="s">
        <v>20</v>
      </c>
      <c r="R3" s="15" t="s">
        <v>21</v>
      </c>
      <c r="S3" s="15" t="s">
        <v>22</v>
      </c>
      <c r="T3" s="15" t="s">
        <v>23</v>
      </c>
      <c r="U3" s="14" t="s">
        <v>24</v>
      </c>
      <c r="V3" s="14"/>
      <c r="W3" s="16"/>
      <c r="X3" s="14" t="s">
        <v>148</v>
      </c>
    </row>
    <row r="4" spans="1:24" s="45" customFormat="1" x14ac:dyDescent="0.25">
      <c r="A4" s="103"/>
      <c r="B4" s="14">
        <v>1</v>
      </c>
      <c r="C4" s="11" t="s">
        <v>163</v>
      </c>
      <c r="D4" s="6"/>
      <c r="E4" s="12">
        <v>4500000</v>
      </c>
      <c r="F4" s="12">
        <v>29</v>
      </c>
      <c r="G4" s="5">
        <f t="shared" ref="G4:G10" si="0">+E4/30*F4</f>
        <v>4350000</v>
      </c>
      <c r="H4" s="5"/>
      <c r="I4" s="5"/>
      <c r="J4" s="5">
        <v>362500</v>
      </c>
      <c r="K4" s="5">
        <f t="shared" ref="K4" si="1">SUM(G4:I4)+J4</f>
        <v>4712500</v>
      </c>
      <c r="L4" s="5">
        <f>+G4*4%</f>
        <v>174000</v>
      </c>
      <c r="M4" s="5">
        <f>+G4*5%</f>
        <v>217500</v>
      </c>
      <c r="N4" s="5"/>
      <c r="O4" s="5"/>
      <c r="P4" s="5">
        <v>3000</v>
      </c>
      <c r="Q4" s="5"/>
      <c r="R4" s="5"/>
      <c r="S4" s="5"/>
      <c r="T4" s="5">
        <f t="shared" ref="T4" si="2">SUM(L4:S4)</f>
        <v>394500</v>
      </c>
      <c r="U4" s="7">
        <f t="shared" ref="U4:U10" si="3">+K4-T4</f>
        <v>4318000</v>
      </c>
      <c r="V4" s="8"/>
      <c r="W4" s="9"/>
      <c r="X4" s="8">
        <f t="shared" ref="X4:X67" si="4">U4+V4-W4</f>
        <v>4318000</v>
      </c>
    </row>
    <row r="5" spans="1:24" x14ac:dyDescent="0.25">
      <c r="A5" s="103"/>
      <c r="B5" s="14">
        <v>2</v>
      </c>
      <c r="C5" s="11" t="s">
        <v>26</v>
      </c>
      <c r="D5" s="6" t="s">
        <v>27</v>
      </c>
      <c r="E5" s="5">
        <v>4815000</v>
      </c>
      <c r="F5" s="5">
        <v>30</v>
      </c>
      <c r="G5" s="5">
        <v>4815000</v>
      </c>
      <c r="H5" s="5"/>
      <c r="I5" s="5"/>
      <c r="J5" s="5"/>
      <c r="K5" s="5">
        <f t="shared" ref="K5:K34" si="5">SUM(G5:I5)+J5</f>
        <v>4815000</v>
      </c>
      <c r="L5" s="5">
        <f t="shared" ref="L5:L33" si="6">+G5*4%</f>
        <v>192600</v>
      </c>
      <c r="M5" s="5">
        <f>+G5*5%</f>
        <v>240750</v>
      </c>
      <c r="N5" s="5"/>
      <c r="O5" s="5"/>
      <c r="P5" s="5">
        <v>19000</v>
      </c>
      <c r="Q5" s="5"/>
      <c r="R5" s="5"/>
      <c r="S5" s="5"/>
      <c r="T5" s="5">
        <f t="shared" ref="T5:T52" si="7">SUM(L5:S5)</f>
        <v>452350</v>
      </c>
      <c r="U5" s="7">
        <f t="shared" si="3"/>
        <v>4362650</v>
      </c>
      <c r="V5" s="8"/>
      <c r="W5" s="9"/>
      <c r="X5" s="8">
        <f t="shared" si="4"/>
        <v>4362650</v>
      </c>
    </row>
    <row r="6" spans="1:24" ht="24" x14ac:dyDescent="0.25">
      <c r="A6" s="103"/>
      <c r="B6" s="14">
        <v>3</v>
      </c>
      <c r="C6" s="11" t="s">
        <v>28</v>
      </c>
      <c r="D6" s="6" t="s">
        <v>27</v>
      </c>
      <c r="E6" s="5">
        <v>4000000</v>
      </c>
      <c r="F6" s="5">
        <v>30</v>
      </c>
      <c r="G6" s="5">
        <f t="shared" si="0"/>
        <v>4000000.0000000005</v>
      </c>
      <c r="H6" s="5"/>
      <c r="I6" s="5">
        <v>800000</v>
      </c>
      <c r="J6" s="5"/>
      <c r="K6" s="5">
        <f t="shared" si="5"/>
        <v>4800000</v>
      </c>
      <c r="L6" s="5">
        <f>+E6*4%</f>
        <v>160000</v>
      </c>
      <c r="M6" s="5">
        <f>+E6*5%</f>
        <v>200000</v>
      </c>
      <c r="N6" s="5"/>
      <c r="O6" s="5"/>
      <c r="P6" s="5">
        <v>31064</v>
      </c>
      <c r="Q6" s="5"/>
      <c r="R6" s="5"/>
      <c r="S6" s="5"/>
      <c r="T6" s="5">
        <f t="shared" si="7"/>
        <v>391064</v>
      </c>
      <c r="U6" s="7">
        <f t="shared" si="3"/>
        <v>4408936</v>
      </c>
      <c r="V6" s="8"/>
      <c r="W6" s="9"/>
      <c r="X6" s="8">
        <f t="shared" si="4"/>
        <v>4408936</v>
      </c>
    </row>
    <row r="7" spans="1:24" x14ac:dyDescent="0.25">
      <c r="A7" s="103"/>
      <c r="B7" s="14">
        <v>4</v>
      </c>
      <c r="C7" s="11" t="s">
        <v>29</v>
      </c>
      <c r="D7" s="6" t="s">
        <v>27</v>
      </c>
      <c r="E7" s="5">
        <v>5500000</v>
      </c>
      <c r="F7" s="5">
        <v>30</v>
      </c>
      <c r="G7" s="5">
        <f t="shared" si="0"/>
        <v>5500000</v>
      </c>
      <c r="H7" s="5"/>
      <c r="I7" s="5"/>
      <c r="J7" s="5"/>
      <c r="K7" s="5">
        <f t="shared" si="5"/>
        <v>5500000</v>
      </c>
      <c r="L7" s="5">
        <f>5500000*4%</f>
        <v>220000</v>
      </c>
      <c r="M7" s="5">
        <f>5500000*5%</f>
        <v>275000</v>
      </c>
      <c r="N7" s="5"/>
      <c r="O7" s="5"/>
      <c r="P7" s="5">
        <v>102000</v>
      </c>
      <c r="Q7" s="5"/>
      <c r="R7" s="5"/>
      <c r="S7" s="5"/>
      <c r="T7" s="5">
        <f t="shared" si="7"/>
        <v>597000</v>
      </c>
      <c r="U7" s="7">
        <f t="shared" si="3"/>
        <v>4903000</v>
      </c>
      <c r="V7" s="8"/>
      <c r="W7" s="9"/>
      <c r="X7" s="8">
        <f t="shared" si="4"/>
        <v>4903000</v>
      </c>
    </row>
    <row r="8" spans="1:24" x14ac:dyDescent="0.25">
      <c r="A8" s="103"/>
      <c r="B8" s="14">
        <v>5</v>
      </c>
      <c r="C8" s="11" t="s">
        <v>30</v>
      </c>
      <c r="D8" s="6" t="s">
        <v>27</v>
      </c>
      <c r="E8" s="5">
        <v>5492319</v>
      </c>
      <c r="F8" s="5">
        <v>30</v>
      </c>
      <c r="G8" s="5">
        <f t="shared" si="0"/>
        <v>5492319</v>
      </c>
      <c r="H8" s="5"/>
      <c r="I8" s="5"/>
      <c r="J8" s="5"/>
      <c r="K8" s="5">
        <f t="shared" ref="K8" si="8">SUM(G8:I8)+J8</f>
        <v>5492319</v>
      </c>
      <c r="L8" s="5">
        <f>+K8*4%</f>
        <v>219692.76</v>
      </c>
      <c r="M8" s="5">
        <f>+K8*5%</f>
        <v>274615.95</v>
      </c>
      <c r="N8" s="5"/>
      <c r="O8" s="5"/>
      <c r="P8" s="17">
        <v>98000</v>
      </c>
      <c r="Q8" s="5"/>
      <c r="R8" s="5"/>
      <c r="S8" s="5">
        <v>726520</v>
      </c>
      <c r="T8" s="5">
        <f t="shared" ref="T8" si="9">SUM(L8:S8)</f>
        <v>1318828.71</v>
      </c>
      <c r="U8" s="7">
        <f t="shared" si="3"/>
        <v>4173490.29</v>
      </c>
      <c r="V8" s="8"/>
      <c r="W8" s="9"/>
      <c r="X8" s="8">
        <f t="shared" si="4"/>
        <v>4173490.29</v>
      </c>
    </row>
    <row r="9" spans="1:24" x14ac:dyDescent="0.25">
      <c r="A9" s="103"/>
      <c r="B9" s="14">
        <v>6</v>
      </c>
      <c r="C9" s="11" t="s">
        <v>142</v>
      </c>
      <c r="D9" s="6" t="s">
        <v>27</v>
      </c>
      <c r="E9" s="5">
        <v>5000000</v>
      </c>
      <c r="F9" s="5">
        <v>30</v>
      </c>
      <c r="G9" s="5">
        <f t="shared" si="0"/>
        <v>5000000</v>
      </c>
      <c r="H9" s="5"/>
      <c r="I9" s="5"/>
      <c r="J9" s="5"/>
      <c r="K9" s="5">
        <f t="shared" si="5"/>
        <v>5000000</v>
      </c>
      <c r="L9" s="5">
        <f>+K9*4%</f>
        <v>200000</v>
      </c>
      <c r="M9" s="5">
        <f>+K9*5%</f>
        <v>250000</v>
      </c>
      <c r="N9" s="5"/>
      <c r="O9" s="5"/>
      <c r="P9" s="17">
        <v>102000</v>
      </c>
      <c r="Q9" s="5"/>
      <c r="R9" s="5"/>
      <c r="S9" s="5"/>
      <c r="T9" s="5">
        <f t="shared" si="7"/>
        <v>552000</v>
      </c>
      <c r="U9" s="7">
        <f t="shared" si="3"/>
        <v>4448000</v>
      </c>
      <c r="V9" s="8"/>
      <c r="W9" s="9"/>
      <c r="X9" s="8">
        <f t="shared" si="4"/>
        <v>4448000</v>
      </c>
    </row>
    <row r="10" spans="1:24" x14ac:dyDescent="0.25">
      <c r="A10" s="103"/>
      <c r="B10" s="14">
        <v>7</v>
      </c>
      <c r="C10" s="11" t="s">
        <v>31</v>
      </c>
      <c r="D10" s="6" t="s">
        <v>27</v>
      </c>
      <c r="E10" s="5">
        <v>5000000</v>
      </c>
      <c r="F10" s="5">
        <v>30</v>
      </c>
      <c r="G10" s="5">
        <f t="shared" si="0"/>
        <v>5000000</v>
      </c>
      <c r="H10" s="5"/>
      <c r="I10" s="5">
        <v>2012670</v>
      </c>
      <c r="J10" s="5"/>
      <c r="K10" s="5">
        <f t="shared" si="5"/>
        <v>7012670</v>
      </c>
      <c r="L10" s="5">
        <f>+G10*4%</f>
        <v>200000</v>
      </c>
      <c r="M10" s="5">
        <f t="shared" ref="M10:M33" si="10">+G10*5%</f>
        <v>250000</v>
      </c>
      <c r="N10" s="5"/>
      <c r="O10" s="5"/>
      <c r="P10" s="5">
        <v>50000</v>
      </c>
      <c r="Q10" s="5">
        <v>700000</v>
      </c>
      <c r="R10" s="5"/>
      <c r="S10" s="5"/>
      <c r="T10" s="5">
        <f t="shared" si="7"/>
        <v>1200000</v>
      </c>
      <c r="U10" s="7">
        <f t="shared" si="3"/>
        <v>5812670</v>
      </c>
      <c r="V10" s="8"/>
      <c r="W10" s="9"/>
      <c r="X10" s="8">
        <f t="shared" si="4"/>
        <v>5812670</v>
      </c>
    </row>
    <row r="11" spans="1:24" x14ac:dyDescent="0.25">
      <c r="A11" s="103"/>
      <c r="B11" s="14">
        <v>8</v>
      </c>
      <c r="C11" s="11" t="s">
        <v>32</v>
      </c>
      <c r="D11" s="6" t="s">
        <v>27</v>
      </c>
      <c r="E11" s="5">
        <v>4500000</v>
      </c>
      <c r="F11" s="5">
        <v>19</v>
      </c>
      <c r="G11" s="5">
        <f>E11/30*F11</f>
        <v>2850000</v>
      </c>
      <c r="H11" s="5"/>
      <c r="I11" s="5"/>
      <c r="J11" s="5">
        <v>2100000</v>
      </c>
      <c r="K11" s="5">
        <f t="shared" si="5"/>
        <v>4950000</v>
      </c>
      <c r="L11" s="5">
        <f>+K11*4%</f>
        <v>198000</v>
      </c>
      <c r="M11" s="5">
        <f>+K11*5%</f>
        <v>247500</v>
      </c>
      <c r="N11" s="5"/>
      <c r="O11" s="5"/>
      <c r="P11" s="5">
        <v>2545</v>
      </c>
      <c r="Q11" s="5"/>
      <c r="R11" s="5"/>
      <c r="S11" s="5">
        <f>945750+420786</f>
        <v>1366536</v>
      </c>
      <c r="T11" s="5">
        <f t="shared" si="7"/>
        <v>1814581</v>
      </c>
      <c r="U11" s="7">
        <f>K11-T11</f>
        <v>3135419</v>
      </c>
      <c r="V11" s="8"/>
      <c r="W11" s="9"/>
      <c r="X11" s="8">
        <f t="shared" si="4"/>
        <v>3135419</v>
      </c>
    </row>
    <row r="12" spans="1:24" x14ac:dyDescent="0.25">
      <c r="A12" s="103"/>
      <c r="B12" s="14">
        <v>9</v>
      </c>
      <c r="C12" s="11" t="s">
        <v>33</v>
      </c>
      <c r="D12" s="6" t="s">
        <v>27</v>
      </c>
      <c r="E12" s="5">
        <v>4500000</v>
      </c>
      <c r="F12" s="5">
        <v>30</v>
      </c>
      <c r="G12" s="5">
        <f>E12/30*F12</f>
        <v>4500000</v>
      </c>
      <c r="H12" s="5"/>
      <c r="I12" s="5"/>
      <c r="J12" s="5"/>
      <c r="K12" s="5">
        <f t="shared" ref="K12" si="11">SUM(G12:I12)+J12</f>
        <v>4500000</v>
      </c>
      <c r="L12" s="5">
        <f>+E12*4%</f>
        <v>180000</v>
      </c>
      <c r="M12" s="5">
        <f>+E12*5%</f>
        <v>225000</v>
      </c>
      <c r="N12" s="5"/>
      <c r="O12" s="5"/>
      <c r="P12" s="5">
        <v>10000</v>
      </c>
      <c r="Q12" s="5"/>
      <c r="R12" s="5"/>
      <c r="S12" s="5"/>
      <c r="T12" s="5">
        <f t="shared" ref="T12" si="12">SUM(L12:S12)</f>
        <v>415000</v>
      </c>
      <c r="U12" s="7">
        <f>K12-T12</f>
        <v>4085000</v>
      </c>
      <c r="V12" s="8"/>
      <c r="W12" s="9"/>
      <c r="X12" s="8">
        <f t="shared" si="4"/>
        <v>4085000</v>
      </c>
    </row>
    <row r="13" spans="1:24" x14ac:dyDescent="0.25">
      <c r="A13" s="103"/>
      <c r="B13" s="14">
        <v>10</v>
      </c>
      <c r="C13" s="11" t="s">
        <v>36</v>
      </c>
      <c r="D13" s="6" t="s">
        <v>27</v>
      </c>
      <c r="E13" s="5">
        <v>5400000</v>
      </c>
      <c r="F13" s="5">
        <v>24</v>
      </c>
      <c r="G13" s="5">
        <f>E13/30*F13</f>
        <v>4320000</v>
      </c>
      <c r="H13" s="5"/>
      <c r="I13" s="5"/>
      <c r="J13" s="5">
        <v>1080000</v>
      </c>
      <c r="K13" s="5">
        <f>SUM(G13:I13)+J13</f>
        <v>5400000</v>
      </c>
      <c r="L13" s="5">
        <f>+K13*4%</f>
        <v>216000</v>
      </c>
      <c r="M13" s="5">
        <f>+K13*5%</f>
        <v>270000</v>
      </c>
      <c r="N13" s="5"/>
      <c r="O13" s="5"/>
      <c r="P13" s="5">
        <v>6500</v>
      </c>
      <c r="Q13" s="5"/>
      <c r="R13" s="5"/>
      <c r="S13" s="5"/>
      <c r="T13" s="5">
        <f t="shared" si="7"/>
        <v>492500</v>
      </c>
      <c r="U13" s="7">
        <f t="shared" ref="U13:U19" si="13">+K13-T13</f>
        <v>4907500</v>
      </c>
      <c r="V13" s="8"/>
      <c r="W13" s="9"/>
      <c r="X13" s="8">
        <f t="shared" si="4"/>
        <v>4907500</v>
      </c>
    </row>
    <row r="14" spans="1:24" x14ac:dyDescent="0.25">
      <c r="A14" s="103"/>
      <c r="B14" s="14">
        <v>11</v>
      </c>
      <c r="C14" s="3" t="s">
        <v>37</v>
      </c>
      <c r="D14" s="4" t="s">
        <v>27</v>
      </c>
      <c r="E14" s="5">
        <v>4500000</v>
      </c>
      <c r="F14" s="5">
        <v>27</v>
      </c>
      <c r="G14" s="5">
        <f t="shared" ref="G14:G19" si="14">+E14/30*F14</f>
        <v>4050000</v>
      </c>
      <c r="H14" s="5"/>
      <c r="I14" s="5"/>
      <c r="J14" s="5">
        <v>450000</v>
      </c>
      <c r="K14" s="5">
        <f t="shared" si="5"/>
        <v>4500000</v>
      </c>
      <c r="L14" s="5">
        <v>180000</v>
      </c>
      <c r="M14" s="5">
        <v>225000</v>
      </c>
      <c r="N14" s="5"/>
      <c r="O14" s="5"/>
      <c r="P14" s="5">
        <v>3000</v>
      </c>
      <c r="Q14" s="5"/>
      <c r="R14" s="5"/>
      <c r="S14" s="5"/>
      <c r="T14" s="5">
        <f t="shared" si="7"/>
        <v>408000</v>
      </c>
      <c r="U14" s="7">
        <f t="shared" si="13"/>
        <v>4092000</v>
      </c>
      <c r="V14" s="8"/>
      <c r="W14" s="9"/>
      <c r="X14" s="8">
        <f t="shared" si="4"/>
        <v>4092000</v>
      </c>
    </row>
    <row r="15" spans="1:24" x14ac:dyDescent="0.25">
      <c r="A15" s="103"/>
      <c r="B15" s="14">
        <v>12</v>
      </c>
      <c r="C15" s="3" t="s">
        <v>38</v>
      </c>
      <c r="D15" s="4" t="s">
        <v>27</v>
      </c>
      <c r="E15" s="5">
        <v>4200000</v>
      </c>
      <c r="F15" s="5">
        <v>30</v>
      </c>
      <c r="G15" s="5">
        <f t="shared" si="14"/>
        <v>4200000</v>
      </c>
      <c r="H15" s="5"/>
      <c r="I15" s="5"/>
      <c r="J15" s="5"/>
      <c r="K15" s="5">
        <f t="shared" ref="K15:K17" si="15">SUM(G15:I15)+J15</f>
        <v>4200000</v>
      </c>
      <c r="L15" s="5">
        <f>+G15*4%</f>
        <v>168000</v>
      </c>
      <c r="M15" s="5">
        <f>+G15*5%</f>
        <v>210000</v>
      </c>
      <c r="N15" s="5"/>
      <c r="O15" s="5"/>
      <c r="P15" s="5">
        <v>32000</v>
      </c>
      <c r="Q15" s="5"/>
      <c r="R15" s="5">
        <v>454500</v>
      </c>
      <c r="S15" s="5">
        <v>838529</v>
      </c>
      <c r="T15" s="5">
        <f t="shared" ref="T15:T17" si="16">SUM(L15:S15)</f>
        <v>1703029</v>
      </c>
      <c r="U15" s="7">
        <f t="shared" si="13"/>
        <v>2496971</v>
      </c>
      <c r="V15" s="8"/>
      <c r="W15" s="9"/>
      <c r="X15" s="8">
        <f t="shared" si="4"/>
        <v>2496971</v>
      </c>
    </row>
    <row r="16" spans="1:24" x14ac:dyDescent="0.25">
      <c r="A16" s="103"/>
      <c r="B16" s="14">
        <v>13</v>
      </c>
      <c r="C16" s="3" t="s">
        <v>39</v>
      </c>
      <c r="D16" s="4" t="s">
        <v>35</v>
      </c>
      <c r="E16" s="5">
        <v>4000000</v>
      </c>
      <c r="F16" s="5">
        <v>30</v>
      </c>
      <c r="G16" s="5">
        <f t="shared" si="14"/>
        <v>4000000.0000000005</v>
      </c>
      <c r="H16" s="5"/>
      <c r="I16" s="5"/>
      <c r="J16" s="5"/>
      <c r="K16" s="5">
        <f t="shared" si="15"/>
        <v>4000000.0000000005</v>
      </c>
      <c r="L16" s="5">
        <v>160000</v>
      </c>
      <c r="M16" s="5">
        <v>200000</v>
      </c>
      <c r="N16" s="5"/>
      <c r="O16" s="5"/>
      <c r="P16" s="5">
        <v>4500</v>
      </c>
      <c r="Q16" s="5"/>
      <c r="R16" s="5"/>
      <c r="S16" s="5"/>
      <c r="T16" s="5">
        <f t="shared" si="16"/>
        <v>364500</v>
      </c>
      <c r="U16" s="7">
        <f t="shared" si="13"/>
        <v>3635500.0000000005</v>
      </c>
      <c r="V16" s="8"/>
      <c r="W16" s="9"/>
      <c r="X16" s="8">
        <f t="shared" si="4"/>
        <v>3635500.0000000005</v>
      </c>
    </row>
    <row r="17" spans="1:24" x14ac:dyDescent="0.25">
      <c r="A17" s="103"/>
      <c r="B17" s="14">
        <v>14</v>
      </c>
      <c r="C17" s="3" t="s">
        <v>40</v>
      </c>
      <c r="D17" s="4" t="s">
        <v>35</v>
      </c>
      <c r="E17" s="5">
        <v>4500000</v>
      </c>
      <c r="F17" s="5">
        <v>30</v>
      </c>
      <c r="G17" s="5">
        <f t="shared" si="14"/>
        <v>4500000</v>
      </c>
      <c r="H17" s="5"/>
      <c r="I17" s="5"/>
      <c r="J17" s="5"/>
      <c r="K17" s="5">
        <f t="shared" si="15"/>
        <v>4500000</v>
      </c>
      <c r="L17" s="5">
        <f>+G17*4%</f>
        <v>180000</v>
      </c>
      <c r="M17" s="5">
        <f>+G17*5%</f>
        <v>225000</v>
      </c>
      <c r="N17" s="5"/>
      <c r="O17" s="5"/>
      <c r="P17" s="5">
        <v>72000</v>
      </c>
      <c r="Q17" s="5"/>
      <c r="R17" s="5"/>
      <c r="S17" s="5"/>
      <c r="T17" s="5">
        <f t="shared" si="16"/>
        <v>477000</v>
      </c>
      <c r="U17" s="7">
        <f t="shared" si="13"/>
        <v>4023000</v>
      </c>
      <c r="V17" s="8"/>
      <c r="W17" s="9"/>
      <c r="X17" s="8">
        <f t="shared" si="4"/>
        <v>4023000</v>
      </c>
    </row>
    <row r="18" spans="1:24" x14ac:dyDescent="0.25">
      <c r="A18" s="103"/>
      <c r="B18" s="14">
        <v>15</v>
      </c>
      <c r="C18" s="11" t="s">
        <v>41</v>
      </c>
      <c r="D18" s="6" t="s">
        <v>27</v>
      </c>
      <c r="E18" s="5">
        <v>5500000</v>
      </c>
      <c r="F18" s="5">
        <v>30</v>
      </c>
      <c r="G18" s="5">
        <f t="shared" si="14"/>
        <v>5500000</v>
      </c>
      <c r="H18" s="5"/>
      <c r="I18" s="5">
        <v>450000</v>
      </c>
      <c r="J18" s="5"/>
      <c r="K18" s="5">
        <f t="shared" si="5"/>
        <v>5950000</v>
      </c>
      <c r="L18" s="5">
        <f>+G18*4%</f>
        <v>220000</v>
      </c>
      <c r="M18" s="5">
        <f>+G18*5%</f>
        <v>275000</v>
      </c>
      <c r="N18" s="5"/>
      <c r="O18" s="5"/>
      <c r="P18" s="17">
        <v>150521</v>
      </c>
      <c r="Q18" s="5"/>
      <c r="R18" s="5"/>
      <c r="S18" s="5"/>
      <c r="T18" s="5">
        <f t="shared" si="7"/>
        <v>645521</v>
      </c>
      <c r="U18" s="7">
        <f t="shared" si="13"/>
        <v>5304479</v>
      </c>
      <c r="V18" s="8"/>
      <c r="W18" s="9"/>
      <c r="X18" s="8">
        <f t="shared" si="4"/>
        <v>5304479</v>
      </c>
    </row>
    <row r="19" spans="1:24" x14ac:dyDescent="0.25">
      <c r="A19" s="103"/>
      <c r="B19" s="14">
        <v>16</v>
      </c>
      <c r="C19" s="11" t="s">
        <v>143</v>
      </c>
      <c r="D19" s="6" t="s">
        <v>27</v>
      </c>
      <c r="E19" s="5">
        <v>5000000</v>
      </c>
      <c r="F19" s="5">
        <v>30</v>
      </c>
      <c r="G19" s="5">
        <f t="shared" si="14"/>
        <v>5000000</v>
      </c>
      <c r="H19" s="5"/>
      <c r="I19" s="5"/>
      <c r="J19" s="5"/>
      <c r="K19" s="5">
        <f t="shared" ref="K19" si="17">SUM(G19:I19)+J19</f>
        <v>5000000</v>
      </c>
      <c r="L19" s="5">
        <f>+G19*4%</f>
        <v>200000</v>
      </c>
      <c r="M19" s="5">
        <f>+G19*5%</f>
        <v>250000</v>
      </c>
      <c r="N19" s="5"/>
      <c r="O19" s="5"/>
      <c r="P19" s="17">
        <v>102000</v>
      </c>
      <c r="Q19" s="5"/>
      <c r="R19" s="5"/>
      <c r="S19" s="5"/>
      <c r="T19" s="5">
        <f t="shared" ref="T19" si="18">SUM(L19:S19)</f>
        <v>552000</v>
      </c>
      <c r="U19" s="7">
        <f t="shared" si="13"/>
        <v>4448000</v>
      </c>
      <c r="V19" s="8"/>
      <c r="W19" s="9"/>
      <c r="X19" s="8">
        <f t="shared" si="4"/>
        <v>4448000</v>
      </c>
    </row>
    <row r="20" spans="1:24" ht="24" x14ac:dyDescent="0.25">
      <c r="A20" s="103"/>
      <c r="B20" s="14">
        <v>17</v>
      </c>
      <c r="C20" s="11" t="s">
        <v>43</v>
      </c>
      <c r="D20" s="6" t="s">
        <v>27</v>
      </c>
      <c r="E20" s="5">
        <v>5000000</v>
      </c>
      <c r="F20" s="5">
        <v>30</v>
      </c>
      <c r="G20" s="5">
        <f>+E20-J20</f>
        <v>5000000</v>
      </c>
      <c r="H20" s="5"/>
      <c r="I20" s="5">
        <v>990000</v>
      </c>
      <c r="J20" s="5"/>
      <c r="K20" s="5">
        <f t="shared" si="5"/>
        <v>5990000</v>
      </c>
      <c r="L20" s="5">
        <v>200000</v>
      </c>
      <c r="M20" s="5">
        <v>250000</v>
      </c>
      <c r="N20" s="5"/>
      <c r="O20" s="5"/>
      <c r="P20" s="17">
        <v>98752</v>
      </c>
      <c r="Q20" s="5"/>
      <c r="R20" s="5"/>
      <c r="S20" s="5"/>
      <c r="T20" s="5">
        <f t="shared" si="7"/>
        <v>548752</v>
      </c>
      <c r="U20" s="7">
        <f>K20-T20</f>
        <v>5441248</v>
      </c>
      <c r="V20" s="8"/>
      <c r="W20" s="9"/>
      <c r="X20" s="8">
        <f t="shared" si="4"/>
        <v>5441248</v>
      </c>
    </row>
    <row r="21" spans="1:24" x14ac:dyDescent="0.25">
      <c r="A21" s="103"/>
      <c r="B21" s="14">
        <v>18</v>
      </c>
      <c r="C21" s="11" t="s">
        <v>44</v>
      </c>
      <c r="D21" s="6" t="s">
        <v>27</v>
      </c>
      <c r="E21" s="5">
        <v>6600000</v>
      </c>
      <c r="F21" s="5">
        <v>30</v>
      </c>
      <c r="G21" s="5">
        <f t="shared" ref="G21:G29" si="19">E21/30*F21</f>
        <v>6600000</v>
      </c>
      <c r="H21" s="5"/>
      <c r="I21" s="5"/>
      <c r="J21" s="5"/>
      <c r="K21" s="5">
        <f t="shared" si="5"/>
        <v>6600000</v>
      </c>
      <c r="L21" s="5">
        <f>+G21*4%</f>
        <v>264000</v>
      </c>
      <c r="M21" s="5">
        <f>+G21*5%</f>
        <v>330000</v>
      </c>
      <c r="N21" s="5"/>
      <c r="O21" s="5"/>
      <c r="P21" s="17">
        <v>288000</v>
      </c>
      <c r="Q21" s="5"/>
      <c r="R21" s="5"/>
      <c r="S21" s="18"/>
      <c r="T21" s="5">
        <f t="shared" si="7"/>
        <v>882000</v>
      </c>
      <c r="U21" s="7">
        <f>K21-T21</f>
        <v>5718000</v>
      </c>
      <c r="V21" s="8"/>
      <c r="W21" s="9"/>
      <c r="X21" s="8">
        <f t="shared" si="4"/>
        <v>5718000</v>
      </c>
    </row>
    <row r="22" spans="1:24" x14ac:dyDescent="0.25">
      <c r="A22" s="103"/>
      <c r="B22" s="14">
        <v>19</v>
      </c>
      <c r="C22" s="11" t="s">
        <v>45</v>
      </c>
      <c r="D22" s="6" t="s">
        <v>27</v>
      </c>
      <c r="E22" s="5">
        <v>6900000</v>
      </c>
      <c r="F22" s="5">
        <v>30</v>
      </c>
      <c r="G22" s="5">
        <f t="shared" si="19"/>
        <v>6900000</v>
      </c>
      <c r="H22" s="5"/>
      <c r="I22" s="5">
        <v>1400000</v>
      </c>
      <c r="J22" s="5"/>
      <c r="K22" s="5">
        <f t="shared" ref="K22" si="20">SUM(G22:I22)+J22</f>
        <v>8300000</v>
      </c>
      <c r="L22" s="5">
        <f t="shared" ref="L22" si="21">+G22*4%</f>
        <v>276000</v>
      </c>
      <c r="M22" s="5">
        <f t="shared" ref="M22" si="22">+G22*5%</f>
        <v>345000</v>
      </c>
      <c r="N22" s="5"/>
      <c r="O22" s="5"/>
      <c r="P22" s="17">
        <v>113000</v>
      </c>
      <c r="Q22" s="5">
        <v>1300000</v>
      </c>
      <c r="R22" s="5"/>
      <c r="S22" s="18"/>
      <c r="T22" s="5">
        <f t="shared" ref="T22:T23" si="23">SUM(L22:S22)</f>
        <v>2034000</v>
      </c>
      <c r="U22" s="7">
        <f>K22-T22</f>
        <v>6266000</v>
      </c>
      <c r="V22" s="8"/>
      <c r="W22" s="9"/>
      <c r="X22" s="8">
        <f t="shared" si="4"/>
        <v>6266000</v>
      </c>
    </row>
    <row r="23" spans="1:24" x14ac:dyDescent="0.25">
      <c r="A23" s="103"/>
      <c r="B23" s="14">
        <v>20</v>
      </c>
      <c r="C23" s="11" t="s">
        <v>46</v>
      </c>
      <c r="D23" s="6" t="s">
        <v>27</v>
      </c>
      <c r="E23" s="5">
        <v>3500000</v>
      </c>
      <c r="F23" s="5">
        <v>30</v>
      </c>
      <c r="G23" s="5">
        <f t="shared" ref="G23" si="24">+E23/30*F23</f>
        <v>3500000</v>
      </c>
      <c r="H23" s="5"/>
      <c r="I23" s="5"/>
      <c r="J23" s="5"/>
      <c r="K23" s="5">
        <f t="shared" ref="K23" si="25">SUM(G23:I23)+J23</f>
        <v>3500000</v>
      </c>
      <c r="L23" s="5">
        <v>140000</v>
      </c>
      <c r="M23" s="5">
        <v>175000</v>
      </c>
      <c r="N23" s="5"/>
      <c r="O23" s="5"/>
      <c r="P23" s="5"/>
      <c r="Q23" s="5"/>
      <c r="R23" s="5"/>
      <c r="S23" s="5"/>
      <c r="T23" s="5">
        <f t="shared" si="23"/>
        <v>315000</v>
      </c>
      <c r="U23" s="7">
        <f t="shared" ref="U23" si="26">+K23-T23</f>
        <v>3185000</v>
      </c>
      <c r="V23" s="8"/>
      <c r="W23" s="9"/>
      <c r="X23" s="8">
        <f t="shared" si="4"/>
        <v>3185000</v>
      </c>
    </row>
    <row r="24" spans="1:24" x14ac:dyDescent="0.25">
      <c r="A24" s="103"/>
      <c r="B24" s="14">
        <v>21</v>
      </c>
      <c r="C24" s="11" t="s">
        <v>47</v>
      </c>
      <c r="D24" s="6" t="s">
        <v>27</v>
      </c>
      <c r="E24" s="5">
        <v>5000000</v>
      </c>
      <c r="F24" s="5">
        <v>30</v>
      </c>
      <c r="G24" s="5">
        <f t="shared" si="19"/>
        <v>5000000</v>
      </c>
      <c r="H24" s="5"/>
      <c r="I24" s="5">
        <v>1621317</v>
      </c>
      <c r="J24" s="5"/>
      <c r="K24" s="5">
        <f t="shared" si="5"/>
        <v>6621317</v>
      </c>
      <c r="L24" s="5">
        <f>+G24*4%</f>
        <v>200000</v>
      </c>
      <c r="M24" s="5">
        <f t="shared" si="10"/>
        <v>250000</v>
      </c>
      <c r="N24" s="5"/>
      <c r="O24" s="5"/>
      <c r="P24" s="17">
        <v>50000</v>
      </c>
      <c r="Q24" s="5">
        <v>3000000</v>
      </c>
      <c r="R24" s="5"/>
      <c r="S24" s="5">
        <f>884747</f>
        <v>884747</v>
      </c>
      <c r="T24" s="5">
        <f t="shared" si="7"/>
        <v>4384747</v>
      </c>
      <c r="U24" s="7">
        <f>+K24-T24</f>
        <v>2236570</v>
      </c>
      <c r="V24" s="8"/>
      <c r="W24" s="9"/>
      <c r="X24" s="8">
        <f t="shared" si="4"/>
        <v>2236570</v>
      </c>
    </row>
    <row r="25" spans="1:24" x14ac:dyDescent="0.25">
      <c r="A25" s="103"/>
      <c r="B25" s="14">
        <v>22</v>
      </c>
      <c r="C25" s="11" t="s">
        <v>48</v>
      </c>
      <c r="D25" s="6" t="s">
        <v>27</v>
      </c>
      <c r="E25" s="5">
        <v>4500000</v>
      </c>
      <c r="F25" s="5">
        <v>30</v>
      </c>
      <c r="G25" s="5">
        <f>+E25-J25</f>
        <v>3450000</v>
      </c>
      <c r="H25" s="5"/>
      <c r="I25" s="5"/>
      <c r="J25" s="5">
        <v>1050000</v>
      </c>
      <c r="K25" s="5">
        <f t="shared" si="5"/>
        <v>4500000</v>
      </c>
      <c r="L25" s="5">
        <v>180000</v>
      </c>
      <c r="M25" s="5">
        <v>225000</v>
      </c>
      <c r="N25" s="5"/>
      <c r="O25" s="5"/>
      <c r="P25" s="17">
        <v>31000</v>
      </c>
      <c r="Q25" s="5"/>
      <c r="R25" s="5"/>
      <c r="S25" s="5"/>
      <c r="T25" s="5">
        <f t="shared" si="7"/>
        <v>436000</v>
      </c>
      <c r="U25" s="7">
        <f>+K25-T25</f>
        <v>4064000</v>
      </c>
      <c r="V25" s="8"/>
      <c r="W25" s="9"/>
      <c r="X25" s="8">
        <f t="shared" si="4"/>
        <v>4064000</v>
      </c>
    </row>
    <row r="26" spans="1:24" x14ac:dyDescent="0.25">
      <c r="A26" s="103"/>
      <c r="B26" s="14">
        <v>23</v>
      </c>
      <c r="C26" s="11" t="s">
        <v>49</v>
      </c>
      <c r="D26" s="6" t="s">
        <v>27</v>
      </c>
      <c r="E26" s="5">
        <v>5000000</v>
      </c>
      <c r="F26" s="5">
        <v>30</v>
      </c>
      <c r="G26" s="5">
        <v>4944460</v>
      </c>
      <c r="H26" s="5"/>
      <c r="I26" s="5"/>
      <c r="J26" s="5">
        <v>0</v>
      </c>
      <c r="K26" s="5">
        <f t="shared" si="5"/>
        <v>4944460</v>
      </c>
      <c r="L26" s="5">
        <f>+E26*4%</f>
        <v>200000</v>
      </c>
      <c r="M26" s="5">
        <f>+E26*5%</f>
        <v>250000</v>
      </c>
      <c r="N26" s="5"/>
      <c r="O26" s="5"/>
      <c r="P26" s="17">
        <v>140000</v>
      </c>
      <c r="Q26" s="5"/>
      <c r="R26" s="5"/>
      <c r="S26" s="5"/>
      <c r="T26" s="5">
        <f t="shared" si="7"/>
        <v>590000</v>
      </c>
      <c r="U26" s="7">
        <f>+K26-T26</f>
        <v>4354460</v>
      </c>
      <c r="V26" s="8"/>
      <c r="W26" s="9"/>
      <c r="X26" s="8">
        <f t="shared" si="4"/>
        <v>4354460</v>
      </c>
    </row>
    <row r="27" spans="1:24" x14ac:dyDescent="0.25">
      <c r="A27" s="103"/>
      <c r="B27" s="14">
        <v>24</v>
      </c>
      <c r="C27" s="11" t="s">
        <v>50</v>
      </c>
      <c r="D27" s="6" t="s">
        <v>27</v>
      </c>
      <c r="E27" s="5">
        <v>4500000</v>
      </c>
      <c r="F27" s="5">
        <v>30</v>
      </c>
      <c r="G27" s="5">
        <f>E27/30*F27</f>
        <v>4500000</v>
      </c>
      <c r="H27" s="5" t="s">
        <v>154</v>
      </c>
      <c r="I27" s="5"/>
      <c r="J27" s="5"/>
      <c r="K27" s="5">
        <f t="shared" ref="K27" si="27">SUM(G27:I27)+J27</f>
        <v>4500000</v>
      </c>
      <c r="L27" s="5">
        <f>+G27*4%</f>
        <v>180000</v>
      </c>
      <c r="M27" s="5">
        <f>+G27*5%</f>
        <v>225000</v>
      </c>
      <c r="N27" s="5"/>
      <c r="O27" s="5"/>
      <c r="P27" s="17">
        <v>72000</v>
      </c>
      <c r="Q27" s="5"/>
      <c r="R27" s="5"/>
      <c r="S27" s="5"/>
      <c r="T27" s="5">
        <f t="shared" ref="T27" si="28">SUM(L27:S27)</f>
        <v>477000</v>
      </c>
      <c r="U27" s="7">
        <f>+K27-T27</f>
        <v>4023000</v>
      </c>
      <c r="V27" s="8"/>
      <c r="W27" s="9"/>
      <c r="X27" s="8">
        <f t="shared" si="4"/>
        <v>4023000</v>
      </c>
    </row>
    <row r="28" spans="1:24" x14ac:dyDescent="0.25">
      <c r="A28" s="103"/>
      <c r="B28" s="14">
        <v>25</v>
      </c>
      <c r="C28" s="11" t="s">
        <v>51</v>
      </c>
      <c r="D28" s="6" t="s">
        <v>27</v>
      </c>
      <c r="E28" s="5">
        <v>6000000</v>
      </c>
      <c r="F28" s="5">
        <v>30</v>
      </c>
      <c r="G28" s="5">
        <f t="shared" si="19"/>
        <v>6000000</v>
      </c>
      <c r="H28" s="5"/>
      <c r="I28" s="2"/>
      <c r="J28" s="2"/>
      <c r="K28" s="5">
        <f t="shared" si="5"/>
        <v>6000000</v>
      </c>
      <c r="L28" s="5">
        <f>+E28*4%</f>
        <v>240000</v>
      </c>
      <c r="M28" s="5">
        <f>E28*5%</f>
        <v>300000</v>
      </c>
      <c r="N28" s="5"/>
      <c r="O28" s="5"/>
      <c r="P28" s="17">
        <v>79000</v>
      </c>
      <c r="Q28" s="5"/>
      <c r="R28" s="5"/>
      <c r="S28" s="5"/>
      <c r="T28" s="5">
        <f t="shared" si="7"/>
        <v>619000</v>
      </c>
      <c r="U28" s="7">
        <f>K28-T28</f>
        <v>5381000</v>
      </c>
      <c r="V28" s="8"/>
      <c r="W28" s="9"/>
      <c r="X28" s="8">
        <f t="shared" si="4"/>
        <v>5381000</v>
      </c>
    </row>
    <row r="29" spans="1:24" x14ac:dyDescent="0.25">
      <c r="A29" s="103"/>
      <c r="B29" s="14">
        <v>26</v>
      </c>
      <c r="C29" s="11" t="s">
        <v>53</v>
      </c>
      <c r="D29" s="6" t="s">
        <v>27</v>
      </c>
      <c r="E29" s="5">
        <v>3500000</v>
      </c>
      <c r="F29" s="5">
        <v>30</v>
      </c>
      <c r="G29" s="5">
        <f t="shared" si="19"/>
        <v>3500000</v>
      </c>
      <c r="H29" s="5"/>
      <c r="I29" s="5"/>
      <c r="J29" s="5"/>
      <c r="K29" s="5">
        <f>SUM(G29:I29)+J29</f>
        <v>3500000</v>
      </c>
      <c r="L29" s="5">
        <v>140000</v>
      </c>
      <c r="M29" s="5">
        <v>175000</v>
      </c>
      <c r="N29" s="5"/>
      <c r="O29" s="5"/>
      <c r="P29" s="17">
        <v>0</v>
      </c>
      <c r="Q29" s="5"/>
      <c r="R29" s="5"/>
      <c r="S29" s="5"/>
      <c r="T29" s="5">
        <f t="shared" ref="T29" si="29">SUM(L29:S29)</f>
        <v>315000</v>
      </c>
      <c r="U29" s="7">
        <f>K29-T29</f>
        <v>3185000</v>
      </c>
      <c r="V29" s="8"/>
      <c r="W29" s="9"/>
      <c r="X29" s="8">
        <f t="shared" si="4"/>
        <v>3185000</v>
      </c>
    </row>
    <row r="30" spans="1:24" x14ac:dyDescent="0.25">
      <c r="A30" s="103"/>
      <c r="B30" s="14">
        <v>27</v>
      </c>
      <c r="C30" s="11" t="s">
        <v>54</v>
      </c>
      <c r="D30" s="6" t="s">
        <v>27</v>
      </c>
      <c r="E30" s="5">
        <v>4800000</v>
      </c>
      <c r="F30" s="5">
        <v>30</v>
      </c>
      <c r="G30" s="5">
        <f t="shared" ref="G30:G55" si="30">+E30/30*F30</f>
        <v>4800000</v>
      </c>
      <c r="H30" s="5"/>
      <c r="I30" s="5"/>
      <c r="J30" s="5"/>
      <c r="K30" s="5">
        <f t="shared" si="5"/>
        <v>4800000</v>
      </c>
      <c r="L30" s="5">
        <f>+G30*4%</f>
        <v>192000</v>
      </c>
      <c r="M30" s="5">
        <f>+G30*5%</f>
        <v>240000</v>
      </c>
      <c r="N30" s="5"/>
      <c r="O30" s="5"/>
      <c r="P30" s="5">
        <v>0</v>
      </c>
      <c r="Q30" s="5">
        <v>1300000</v>
      </c>
      <c r="R30" s="5"/>
      <c r="S30" s="5">
        <v>209579</v>
      </c>
      <c r="T30" s="5">
        <f t="shared" si="7"/>
        <v>1941579</v>
      </c>
      <c r="U30" s="7">
        <f>K30-T30</f>
        <v>2858421</v>
      </c>
      <c r="V30" s="8"/>
      <c r="W30" s="9"/>
      <c r="X30" s="8">
        <f t="shared" si="4"/>
        <v>2858421</v>
      </c>
    </row>
    <row r="31" spans="1:24" x14ac:dyDescent="0.25">
      <c r="A31" s="103"/>
      <c r="B31" s="14">
        <v>28</v>
      </c>
      <c r="C31" s="11" t="s">
        <v>55</v>
      </c>
      <c r="D31" s="6" t="s">
        <v>27</v>
      </c>
      <c r="E31" s="5">
        <v>4280000</v>
      </c>
      <c r="F31" s="5">
        <v>30</v>
      </c>
      <c r="G31" s="5">
        <f>E31/30*F31</f>
        <v>4280000</v>
      </c>
      <c r="H31" s="5"/>
      <c r="I31" s="5"/>
      <c r="J31" s="5">
        <v>713333</v>
      </c>
      <c r="K31" s="5">
        <f t="shared" si="5"/>
        <v>4993333</v>
      </c>
      <c r="L31" s="5">
        <f>+K31*4%</f>
        <v>199733.32</v>
      </c>
      <c r="M31" s="5">
        <v>249666</v>
      </c>
      <c r="N31" s="5"/>
      <c r="O31" s="5"/>
      <c r="P31" s="17">
        <v>31064</v>
      </c>
      <c r="Q31" s="5"/>
      <c r="R31" s="5"/>
      <c r="S31" s="5"/>
      <c r="T31" s="5">
        <f t="shared" si="7"/>
        <v>480463.32</v>
      </c>
      <c r="U31" s="7">
        <f>K31-T31</f>
        <v>4512869.68</v>
      </c>
      <c r="V31" s="8"/>
      <c r="W31" s="9"/>
      <c r="X31" s="8">
        <f t="shared" si="4"/>
        <v>4512869.68</v>
      </c>
    </row>
    <row r="32" spans="1:24" x14ac:dyDescent="0.25">
      <c r="A32" s="103"/>
      <c r="B32" s="14">
        <v>29</v>
      </c>
      <c r="C32" s="11" t="s">
        <v>56</v>
      </c>
      <c r="D32" s="6" t="s">
        <v>27</v>
      </c>
      <c r="E32" s="5">
        <v>6000000</v>
      </c>
      <c r="F32" s="5">
        <v>30</v>
      </c>
      <c r="G32" s="5">
        <f t="shared" si="30"/>
        <v>6000000</v>
      </c>
      <c r="H32" s="5"/>
      <c r="I32" s="5"/>
      <c r="J32" s="5"/>
      <c r="K32" s="5">
        <f t="shared" si="5"/>
        <v>6000000</v>
      </c>
      <c r="L32" s="5">
        <f>+K32*4%</f>
        <v>240000</v>
      </c>
      <c r="M32" s="5">
        <f>+K32*5%</f>
        <v>300000</v>
      </c>
      <c r="N32" s="5"/>
      <c r="O32" s="5"/>
      <c r="P32" s="5">
        <v>208000</v>
      </c>
      <c r="Q32" s="5"/>
      <c r="R32" s="5">
        <v>122614</v>
      </c>
      <c r="S32" s="5"/>
      <c r="T32" s="5">
        <f t="shared" si="7"/>
        <v>870614</v>
      </c>
      <c r="U32" s="7">
        <f t="shared" ref="U32:U33" si="31">+K32-T32</f>
        <v>5129386</v>
      </c>
      <c r="V32" s="8"/>
      <c r="W32" s="9"/>
      <c r="X32" s="8">
        <f t="shared" si="4"/>
        <v>5129386</v>
      </c>
    </row>
    <row r="33" spans="1:26" x14ac:dyDescent="0.25">
      <c r="A33" s="103"/>
      <c r="B33" s="14">
        <v>30</v>
      </c>
      <c r="C33" s="11" t="s">
        <v>57</v>
      </c>
      <c r="D33" s="6" t="s">
        <v>27</v>
      </c>
      <c r="E33" s="5">
        <v>4500000</v>
      </c>
      <c r="F33" s="5">
        <v>30</v>
      </c>
      <c r="G33" s="5">
        <f t="shared" si="30"/>
        <v>4500000</v>
      </c>
      <c r="H33" s="5"/>
      <c r="I33" s="5">
        <v>500000</v>
      </c>
      <c r="J33" s="2"/>
      <c r="K33" s="5">
        <f t="shared" si="5"/>
        <v>5000000</v>
      </c>
      <c r="L33" s="5">
        <f t="shared" si="6"/>
        <v>180000</v>
      </c>
      <c r="M33" s="5">
        <f t="shared" si="10"/>
        <v>225000</v>
      </c>
      <c r="N33" s="5"/>
      <c r="O33" s="5"/>
      <c r="P33" s="5">
        <v>11000</v>
      </c>
      <c r="Q33" s="5"/>
      <c r="R33" s="5">
        <v>589170</v>
      </c>
      <c r="S33" s="5">
        <v>551399</v>
      </c>
      <c r="T33" s="5">
        <f t="shared" si="7"/>
        <v>1556569</v>
      </c>
      <c r="U33" s="7">
        <f t="shared" si="31"/>
        <v>3443431</v>
      </c>
      <c r="V33" s="8"/>
      <c r="W33" s="9"/>
      <c r="X33" s="8">
        <f t="shared" si="4"/>
        <v>3443431</v>
      </c>
    </row>
    <row r="34" spans="1:26" x14ac:dyDescent="0.25">
      <c r="A34" s="103"/>
      <c r="B34" s="14">
        <v>31</v>
      </c>
      <c r="C34" s="3" t="s">
        <v>58</v>
      </c>
      <c r="D34" s="4" t="s">
        <v>27</v>
      </c>
      <c r="E34" s="5">
        <v>4815000</v>
      </c>
      <c r="F34" s="5">
        <v>30</v>
      </c>
      <c r="G34" s="5">
        <f>+E34-J34</f>
        <v>4815000</v>
      </c>
      <c r="H34" s="5"/>
      <c r="I34" s="5"/>
      <c r="J34" s="5"/>
      <c r="K34" s="5">
        <f t="shared" si="5"/>
        <v>4815000</v>
      </c>
      <c r="L34" s="5">
        <f>+E34*4%</f>
        <v>192600</v>
      </c>
      <c r="M34" s="5">
        <f>+E34*5%</f>
        <v>240750</v>
      </c>
      <c r="N34" s="5"/>
      <c r="O34" s="5"/>
      <c r="P34" s="5">
        <v>34627</v>
      </c>
      <c r="Q34" s="5"/>
      <c r="R34" s="5"/>
      <c r="S34" s="5">
        <v>541379</v>
      </c>
      <c r="T34" s="5">
        <f t="shared" si="7"/>
        <v>1009356</v>
      </c>
      <c r="U34" s="7">
        <f>K34-T34</f>
        <v>3805644</v>
      </c>
      <c r="V34" s="8"/>
      <c r="W34" s="9"/>
      <c r="X34" s="8">
        <f t="shared" si="4"/>
        <v>3805644</v>
      </c>
    </row>
    <row r="35" spans="1:26" ht="24" x14ac:dyDescent="0.25">
      <c r="A35" s="103"/>
      <c r="B35" s="14">
        <v>32</v>
      </c>
      <c r="C35" s="11" t="s">
        <v>59</v>
      </c>
      <c r="D35" s="6" t="s">
        <v>27</v>
      </c>
      <c r="E35" s="5">
        <v>6420000</v>
      </c>
      <c r="F35" s="5">
        <v>30</v>
      </c>
      <c r="G35" s="5">
        <f>+E35-J35</f>
        <v>6420000</v>
      </c>
      <c r="H35" s="5"/>
      <c r="I35" s="5"/>
      <c r="J35" s="5">
        <v>0</v>
      </c>
      <c r="K35" s="5">
        <f t="shared" ref="K35:K79" si="32">SUM(G35:I35)+J35</f>
        <v>6420000</v>
      </c>
      <c r="L35" s="5">
        <f>+E35*4%</f>
        <v>256800</v>
      </c>
      <c r="M35" s="5">
        <f>+E35*5%</f>
        <v>321000</v>
      </c>
      <c r="N35" s="5"/>
      <c r="O35" s="5"/>
      <c r="P35" s="5">
        <v>231000</v>
      </c>
      <c r="Q35" s="5"/>
      <c r="R35" s="5"/>
      <c r="S35" s="5"/>
      <c r="T35" s="5">
        <f t="shared" si="7"/>
        <v>808800</v>
      </c>
      <c r="U35" s="7">
        <f>+K35-T35</f>
        <v>5611200</v>
      </c>
      <c r="V35" s="8"/>
      <c r="W35" s="9"/>
      <c r="X35" s="8">
        <f t="shared" si="4"/>
        <v>5611200</v>
      </c>
    </row>
    <row r="36" spans="1:26" x14ac:dyDescent="0.25">
      <c r="A36" s="103"/>
      <c r="B36" s="14">
        <v>33</v>
      </c>
      <c r="C36" s="3" t="s">
        <v>60</v>
      </c>
      <c r="D36" s="4" t="s">
        <v>27</v>
      </c>
      <c r="E36" s="5">
        <v>6900000</v>
      </c>
      <c r="F36" s="5">
        <v>30</v>
      </c>
      <c r="G36" s="5">
        <f t="shared" si="30"/>
        <v>6900000</v>
      </c>
      <c r="H36" s="5"/>
      <c r="I36" s="5">
        <v>1500000</v>
      </c>
      <c r="J36" s="2"/>
      <c r="K36" s="5">
        <f t="shared" si="32"/>
        <v>8400000</v>
      </c>
      <c r="L36" s="5">
        <v>276000</v>
      </c>
      <c r="M36" s="5">
        <v>345000</v>
      </c>
      <c r="N36" s="5"/>
      <c r="O36" s="5"/>
      <c r="P36" s="5">
        <v>345000</v>
      </c>
      <c r="Q36" s="5"/>
      <c r="R36" s="5"/>
      <c r="S36" s="5"/>
      <c r="T36" s="5">
        <f t="shared" si="7"/>
        <v>966000</v>
      </c>
      <c r="U36" s="7">
        <f>K36-T36</f>
        <v>7434000</v>
      </c>
      <c r="V36" s="8"/>
      <c r="W36" s="9"/>
      <c r="X36" s="8">
        <f t="shared" si="4"/>
        <v>7434000</v>
      </c>
    </row>
    <row r="37" spans="1:26" x14ac:dyDescent="0.25">
      <c r="A37" s="103"/>
      <c r="B37" s="14">
        <v>34</v>
      </c>
      <c r="C37" s="3" t="s">
        <v>62</v>
      </c>
      <c r="D37" s="4" t="s">
        <v>27</v>
      </c>
      <c r="E37" s="5">
        <v>5500000</v>
      </c>
      <c r="F37" s="5">
        <v>30</v>
      </c>
      <c r="G37" s="5">
        <f t="shared" si="30"/>
        <v>5500000</v>
      </c>
      <c r="H37" s="5"/>
      <c r="I37" s="5">
        <v>500000</v>
      </c>
      <c r="J37" s="5"/>
      <c r="K37" s="5">
        <f t="shared" ref="K37" si="33">SUM(G37:I37)+J37</f>
        <v>6000000</v>
      </c>
      <c r="L37" s="5">
        <f>+G37*4%</f>
        <v>220000</v>
      </c>
      <c r="M37" s="5">
        <f>+G37*5%</f>
        <v>275000</v>
      </c>
      <c r="N37" s="5"/>
      <c r="O37" s="5"/>
      <c r="P37" s="5">
        <v>144000</v>
      </c>
      <c r="Q37" s="5"/>
      <c r="R37" s="5"/>
      <c r="S37" s="5"/>
      <c r="T37" s="5">
        <f t="shared" ref="T37" si="34">SUM(L37:S37)</f>
        <v>639000</v>
      </c>
      <c r="U37" s="7">
        <f t="shared" ref="U37" si="35">K37-T37</f>
        <v>5361000</v>
      </c>
      <c r="V37" s="8"/>
      <c r="W37" s="9"/>
      <c r="X37" s="8">
        <f t="shared" si="4"/>
        <v>5361000</v>
      </c>
    </row>
    <row r="38" spans="1:26" x14ac:dyDescent="0.25">
      <c r="A38" s="103"/>
      <c r="B38" s="14">
        <v>35</v>
      </c>
      <c r="C38" s="11" t="s">
        <v>63</v>
      </c>
      <c r="D38" s="6" t="s">
        <v>27</v>
      </c>
      <c r="E38" s="5">
        <v>5350000</v>
      </c>
      <c r="F38" s="5">
        <v>30</v>
      </c>
      <c r="G38" s="5">
        <f t="shared" si="30"/>
        <v>5350000</v>
      </c>
      <c r="H38" s="5"/>
      <c r="I38" s="5"/>
      <c r="J38" s="5"/>
      <c r="K38" s="5">
        <f t="shared" si="32"/>
        <v>5350000</v>
      </c>
      <c r="L38" s="5">
        <f>+G38*4%</f>
        <v>214000</v>
      </c>
      <c r="M38" s="5">
        <f>+G38*5%</f>
        <v>267500</v>
      </c>
      <c r="N38" s="5"/>
      <c r="O38" s="5"/>
      <c r="P38" s="5">
        <v>121000</v>
      </c>
      <c r="Q38" s="5"/>
      <c r="R38" s="5"/>
      <c r="S38" s="5"/>
      <c r="T38" s="5">
        <f>SUM(L38:S38)</f>
        <v>602500</v>
      </c>
      <c r="U38" s="7">
        <f t="shared" ref="U38:U44" si="36">+K38-T38</f>
        <v>4747500</v>
      </c>
      <c r="V38" s="8"/>
      <c r="W38" s="9"/>
      <c r="X38" s="8">
        <f t="shared" si="4"/>
        <v>4747500</v>
      </c>
    </row>
    <row r="39" spans="1:26" x14ac:dyDescent="0.25">
      <c r="A39" s="103"/>
      <c r="B39" s="14">
        <v>36</v>
      </c>
      <c r="C39" s="11" t="s">
        <v>149</v>
      </c>
      <c r="D39" s="6"/>
      <c r="E39" s="5">
        <v>4000000</v>
      </c>
      <c r="F39" s="5">
        <v>30</v>
      </c>
      <c r="G39" s="5">
        <f t="shared" si="30"/>
        <v>4000000.0000000005</v>
      </c>
      <c r="H39" s="5"/>
      <c r="I39" s="5"/>
      <c r="J39" s="5"/>
      <c r="K39" s="5">
        <f t="shared" ref="K39" si="37">SUM(G39:I39)+J39</f>
        <v>4000000.0000000005</v>
      </c>
      <c r="L39" s="5">
        <f>+G39*4%</f>
        <v>160000.00000000003</v>
      </c>
      <c r="M39" s="5">
        <f>+G39*5%</f>
        <v>200000.00000000003</v>
      </c>
      <c r="N39" s="5"/>
      <c r="O39" s="5"/>
      <c r="P39" s="5">
        <v>0</v>
      </c>
      <c r="Q39" s="5"/>
      <c r="R39" s="5"/>
      <c r="S39" s="5"/>
      <c r="T39" s="5">
        <f>SUM(L39:S39)</f>
        <v>360000.00000000006</v>
      </c>
      <c r="U39" s="7">
        <f t="shared" si="36"/>
        <v>3640000.0000000005</v>
      </c>
      <c r="V39" s="8"/>
      <c r="W39" s="9"/>
      <c r="X39" s="8">
        <f t="shared" si="4"/>
        <v>3640000.0000000005</v>
      </c>
    </row>
    <row r="40" spans="1:26" x14ac:dyDescent="0.25">
      <c r="A40" s="103"/>
      <c r="B40" s="14">
        <v>37</v>
      </c>
      <c r="C40" s="11" t="s">
        <v>64</v>
      </c>
      <c r="D40" s="6" t="s">
        <v>27</v>
      </c>
      <c r="E40" s="5">
        <v>4500000</v>
      </c>
      <c r="F40" s="5">
        <v>30</v>
      </c>
      <c r="G40" s="5">
        <f t="shared" si="30"/>
        <v>4500000</v>
      </c>
      <c r="H40" s="5"/>
      <c r="I40" s="5"/>
      <c r="J40" s="5">
        <f>+E40-G40</f>
        <v>0</v>
      </c>
      <c r="K40" s="5">
        <f t="shared" si="32"/>
        <v>4500000</v>
      </c>
      <c r="L40" s="5">
        <f>+E40*4%</f>
        <v>180000</v>
      </c>
      <c r="M40" s="5">
        <f>+E40*5%</f>
        <v>225000</v>
      </c>
      <c r="N40" s="5"/>
      <c r="O40" s="5"/>
      <c r="P40" s="5">
        <v>10000</v>
      </c>
      <c r="Q40" s="5"/>
      <c r="R40" s="5"/>
      <c r="S40" s="18"/>
      <c r="T40" s="5">
        <f>SUM(L40:S40)</f>
        <v>415000</v>
      </c>
      <c r="U40" s="7">
        <f t="shared" si="36"/>
        <v>4085000</v>
      </c>
      <c r="V40" s="8"/>
      <c r="W40" s="9"/>
      <c r="X40" s="8">
        <f t="shared" si="4"/>
        <v>4085000</v>
      </c>
    </row>
    <row r="41" spans="1:26" ht="26.25" customHeight="1" x14ac:dyDescent="0.25">
      <c r="A41" s="103"/>
      <c r="B41" s="14">
        <v>38</v>
      </c>
      <c r="C41" s="11" t="s">
        <v>66</v>
      </c>
      <c r="D41" s="6" t="s">
        <v>27</v>
      </c>
      <c r="E41" s="5">
        <v>4800000</v>
      </c>
      <c r="F41" s="5">
        <v>30</v>
      </c>
      <c r="G41" s="5">
        <f t="shared" si="30"/>
        <v>4800000</v>
      </c>
      <c r="H41" s="5"/>
      <c r="I41" s="5"/>
      <c r="J41" s="5"/>
      <c r="K41" s="5">
        <f t="shared" ref="K41" si="38">SUM(G41:I41)+J41</f>
        <v>4800000</v>
      </c>
      <c r="L41" s="5">
        <f>+G41*4%</f>
        <v>192000</v>
      </c>
      <c r="M41" s="5">
        <f>+G41*5%</f>
        <v>240000</v>
      </c>
      <c r="N41" s="5"/>
      <c r="O41" s="5"/>
      <c r="P41" s="5">
        <v>51000</v>
      </c>
      <c r="Q41" s="5"/>
      <c r="R41" s="5"/>
      <c r="S41" s="5"/>
      <c r="T41" s="5">
        <f t="shared" ref="T41" si="39">SUM(L41:S41)</f>
        <v>483000</v>
      </c>
      <c r="U41" s="7">
        <f t="shared" si="36"/>
        <v>4317000</v>
      </c>
      <c r="V41" s="8"/>
      <c r="W41" s="9"/>
      <c r="X41" s="8">
        <f t="shared" si="4"/>
        <v>4317000</v>
      </c>
    </row>
    <row r="42" spans="1:26" ht="26.25" customHeight="1" x14ac:dyDescent="0.25">
      <c r="A42" s="103"/>
      <c r="B42" s="14">
        <v>39</v>
      </c>
      <c r="C42" s="11" t="s">
        <v>67</v>
      </c>
      <c r="D42" s="6"/>
      <c r="E42" s="5">
        <v>4000000</v>
      </c>
      <c r="F42" s="5">
        <v>30</v>
      </c>
      <c r="G42" s="5">
        <f t="shared" si="30"/>
        <v>4000000.0000000005</v>
      </c>
      <c r="H42" s="5"/>
      <c r="I42" s="5"/>
      <c r="J42" s="5"/>
      <c r="K42" s="5">
        <f t="shared" ref="K42" si="40">SUM(G42:I42)+J42</f>
        <v>4000000.0000000005</v>
      </c>
      <c r="L42" s="5">
        <f>+G42*4%</f>
        <v>160000.00000000003</v>
      </c>
      <c r="M42" s="5">
        <f>+G42*5%</f>
        <v>200000.00000000003</v>
      </c>
      <c r="N42" s="5"/>
      <c r="O42" s="5"/>
      <c r="P42" s="5">
        <v>4500</v>
      </c>
      <c r="Q42" s="5"/>
      <c r="R42" s="5"/>
      <c r="S42" s="5"/>
      <c r="T42" s="5">
        <f t="shared" ref="T42" si="41">SUM(L42:S42)</f>
        <v>364500.00000000006</v>
      </c>
      <c r="U42" s="7">
        <f t="shared" si="36"/>
        <v>3635500.0000000005</v>
      </c>
      <c r="V42" s="8"/>
      <c r="W42" s="9"/>
      <c r="X42" s="8">
        <f t="shared" si="4"/>
        <v>3635500.0000000005</v>
      </c>
    </row>
    <row r="43" spans="1:26" ht="24" x14ac:dyDescent="0.25">
      <c r="A43" s="103"/>
      <c r="B43" s="14">
        <v>40</v>
      </c>
      <c r="C43" s="11" t="s">
        <v>68</v>
      </c>
      <c r="D43" s="6" t="s">
        <v>27</v>
      </c>
      <c r="E43" s="5">
        <v>3500000</v>
      </c>
      <c r="F43" s="5">
        <v>30</v>
      </c>
      <c r="G43" s="5">
        <f>+E43-J43</f>
        <v>1866667</v>
      </c>
      <c r="H43" s="5"/>
      <c r="I43" s="5" t="s">
        <v>1</v>
      </c>
      <c r="J43" s="5">
        <f>350000+1283333</f>
        <v>1633333</v>
      </c>
      <c r="K43" s="5">
        <f t="shared" si="32"/>
        <v>3500000</v>
      </c>
      <c r="L43" s="5">
        <f>+K43*4%</f>
        <v>140000</v>
      </c>
      <c r="M43" s="5">
        <f>+K43*5%</f>
        <v>175000</v>
      </c>
      <c r="N43" s="5"/>
      <c r="O43" s="5"/>
      <c r="P43" s="5"/>
      <c r="Q43" s="5"/>
      <c r="R43" s="5"/>
      <c r="S43" s="5"/>
      <c r="T43" s="5">
        <f t="shared" si="7"/>
        <v>315000</v>
      </c>
      <c r="U43" s="7">
        <f t="shared" si="36"/>
        <v>3185000</v>
      </c>
      <c r="V43" s="8"/>
      <c r="W43" s="9"/>
      <c r="X43" s="8">
        <f t="shared" si="4"/>
        <v>3185000</v>
      </c>
    </row>
    <row r="44" spans="1:26" x14ac:dyDescent="0.25">
      <c r="A44" s="103"/>
      <c r="B44" s="14">
        <v>41</v>
      </c>
      <c r="C44" s="11" t="s">
        <v>69</v>
      </c>
      <c r="D44" s="6" t="s">
        <v>27</v>
      </c>
      <c r="E44" s="5">
        <v>5000000</v>
      </c>
      <c r="F44" s="5">
        <v>30</v>
      </c>
      <c r="G44" s="5">
        <f t="shared" si="30"/>
        <v>5000000</v>
      </c>
      <c r="H44" s="5"/>
      <c r="I44" s="5">
        <v>800000</v>
      </c>
      <c r="J44" s="5"/>
      <c r="K44" s="5">
        <f t="shared" si="32"/>
        <v>5800000</v>
      </c>
      <c r="L44" s="5">
        <f>+G44*4%</f>
        <v>200000</v>
      </c>
      <c r="M44" s="5">
        <f>+G44*5%</f>
        <v>250000</v>
      </c>
      <c r="N44" s="5"/>
      <c r="O44" s="5"/>
      <c r="P44" s="5">
        <v>50000</v>
      </c>
      <c r="Q44" s="5"/>
      <c r="R44" s="5"/>
      <c r="S44" s="5"/>
      <c r="T44" s="5">
        <f t="shared" si="7"/>
        <v>500000</v>
      </c>
      <c r="U44" s="7">
        <f t="shared" si="36"/>
        <v>5300000</v>
      </c>
      <c r="V44" s="8"/>
      <c r="W44" s="9"/>
      <c r="X44" s="8">
        <f t="shared" si="4"/>
        <v>5300000</v>
      </c>
      <c r="Y44" s="8">
        <v>4886979</v>
      </c>
      <c r="Z44" s="20">
        <f>+X44-Y44</f>
        <v>413021</v>
      </c>
    </row>
    <row r="45" spans="1:26" ht="30.75" customHeight="1" x14ac:dyDescent="0.25">
      <c r="A45" s="103"/>
      <c r="B45" s="14">
        <v>42</v>
      </c>
      <c r="C45" s="11" t="s">
        <v>70</v>
      </c>
      <c r="D45" s="6" t="s">
        <v>27</v>
      </c>
      <c r="E45" s="5">
        <v>5152050</v>
      </c>
      <c r="F45" s="5">
        <v>30</v>
      </c>
      <c r="G45" s="5">
        <f>+E45-J45</f>
        <v>5152050</v>
      </c>
      <c r="H45" s="5"/>
      <c r="I45" s="5">
        <v>350000</v>
      </c>
      <c r="J45" s="5"/>
      <c r="K45" s="5">
        <f t="shared" si="32"/>
        <v>5502050</v>
      </c>
      <c r="L45" s="5">
        <f>+G45*4%</f>
        <v>206082</v>
      </c>
      <c r="M45" s="5">
        <f>+G45*5%</f>
        <v>257602.5</v>
      </c>
      <c r="N45" s="5"/>
      <c r="O45" s="5"/>
      <c r="P45" s="5">
        <v>93000</v>
      </c>
      <c r="Q45" s="5"/>
      <c r="R45" s="5"/>
      <c r="S45" s="5"/>
      <c r="T45" s="5">
        <f t="shared" si="7"/>
        <v>556684.5</v>
      </c>
      <c r="U45" s="7">
        <f>K45-T45</f>
        <v>4945365.5</v>
      </c>
      <c r="V45" s="8"/>
      <c r="W45" s="9"/>
      <c r="X45" s="8">
        <f t="shared" si="4"/>
        <v>4945365.5</v>
      </c>
    </row>
    <row r="46" spans="1:26" x14ac:dyDescent="0.25">
      <c r="A46" s="103"/>
      <c r="B46" s="14">
        <v>43</v>
      </c>
      <c r="C46" s="11" t="s">
        <v>71</v>
      </c>
      <c r="D46" s="6" t="s">
        <v>27</v>
      </c>
      <c r="E46" s="5">
        <v>9590321</v>
      </c>
      <c r="F46" s="5">
        <v>30</v>
      </c>
      <c r="G46" s="5">
        <f t="shared" si="30"/>
        <v>9590321</v>
      </c>
      <c r="H46" s="5"/>
      <c r="I46" s="5"/>
      <c r="J46" s="2"/>
      <c r="K46" s="5">
        <f t="shared" si="32"/>
        <v>9590321</v>
      </c>
      <c r="L46" s="5">
        <v>268529</v>
      </c>
      <c r="M46" s="5">
        <v>335661</v>
      </c>
      <c r="N46" s="5"/>
      <c r="O46" s="5"/>
      <c r="P46" s="5">
        <v>205000</v>
      </c>
      <c r="Q46" s="5">
        <v>2500000</v>
      </c>
      <c r="R46" s="5"/>
      <c r="S46" s="5"/>
      <c r="T46" s="5">
        <f t="shared" si="7"/>
        <v>3309190</v>
      </c>
      <c r="U46" s="7">
        <f>K46-T46</f>
        <v>6281131</v>
      </c>
      <c r="V46" s="8"/>
      <c r="W46" s="9"/>
      <c r="X46" s="8">
        <f t="shared" si="4"/>
        <v>6281131</v>
      </c>
    </row>
    <row r="47" spans="1:26" x14ac:dyDescent="0.25">
      <c r="A47" s="104"/>
      <c r="B47" s="14">
        <v>44</v>
      </c>
      <c r="C47" s="11" t="s">
        <v>72</v>
      </c>
      <c r="D47" s="6" t="s">
        <v>27</v>
      </c>
      <c r="E47" s="5">
        <v>4500000</v>
      </c>
      <c r="F47" s="5">
        <v>30</v>
      </c>
      <c r="G47" s="5">
        <f>+E47-J47</f>
        <v>4500000</v>
      </c>
      <c r="H47" s="5"/>
      <c r="I47" s="5"/>
      <c r="J47" s="5"/>
      <c r="K47" s="5">
        <f t="shared" si="32"/>
        <v>4500000</v>
      </c>
      <c r="L47" s="5">
        <v>180000</v>
      </c>
      <c r="M47" s="5">
        <v>225000</v>
      </c>
      <c r="N47" s="5"/>
      <c r="O47" s="5"/>
      <c r="P47" s="5">
        <v>31000</v>
      </c>
      <c r="Q47" s="5"/>
      <c r="R47" s="5"/>
      <c r="S47" s="5"/>
      <c r="T47" s="5">
        <f t="shared" si="7"/>
        <v>436000</v>
      </c>
      <c r="U47" s="7">
        <f>K47-T47</f>
        <v>4064000</v>
      </c>
      <c r="V47" s="8"/>
      <c r="W47" s="9"/>
      <c r="X47" s="8">
        <f t="shared" si="4"/>
        <v>4064000</v>
      </c>
    </row>
    <row r="48" spans="1:26" x14ac:dyDescent="0.25">
      <c r="A48" s="102" t="s">
        <v>144</v>
      </c>
      <c r="B48" s="13">
        <v>1</v>
      </c>
      <c r="C48" s="11" t="s">
        <v>145</v>
      </c>
      <c r="D48" s="6"/>
      <c r="E48" s="5">
        <v>368858</v>
      </c>
      <c r="F48" s="5">
        <v>30</v>
      </c>
      <c r="G48" s="5">
        <f t="shared" si="30"/>
        <v>368858</v>
      </c>
      <c r="H48" s="5"/>
      <c r="I48" s="5"/>
      <c r="J48" s="5"/>
      <c r="K48" s="5">
        <f t="shared" si="32"/>
        <v>368858</v>
      </c>
      <c r="L48" s="5"/>
      <c r="M48" s="5"/>
      <c r="N48" s="5"/>
      <c r="O48" s="5"/>
      <c r="P48" s="5"/>
      <c r="Q48" s="5"/>
      <c r="R48" s="5"/>
      <c r="S48" s="5"/>
      <c r="T48" s="5"/>
      <c r="U48" s="7">
        <f>K48-T48</f>
        <v>368858</v>
      </c>
      <c r="V48" s="8"/>
      <c r="W48" s="9"/>
      <c r="X48" s="8">
        <f t="shared" si="4"/>
        <v>368858</v>
      </c>
    </row>
    <row r="49" spans="1:24" x14ac:dyDescent="0.25">
      <c r="A49" s="103"/>
      <c r="B49" s="13">
        <v>2</v>
      </c>
      <c r="C49" s="11" t="s">
        <v>73</v>
      </c>
      <c r="D49" s="6" t="s">
        <v>27</v>
      </c>
      <c r="E49" s="5">
        <v>3000000</v>
      </c>
      <c r="F49" s="5">
        <v>30</v>
      </c>
      <c r="G49" s="5">
        <f t="shared" si="30"/>
        <v>3000000</v>
      </c>
      <c r="H49" s="5"/>
      <c r="I49" s="5"/>
      <c r="J49" s="5"/>
      <c r="K49" s="5">
        <f t="shared" si="32"/>
        <v>3000000</v>
      </c>
      <c r="L49" s="5">
        <v>120000</v>
      </c>
      <c r="M49" s="5">
        <v>150000</v>
      </c>
      <c r="N49" s="5"/>
      <c r="O49" s="5"/>
      <c r="P49" s="5"/>
      <c r="Q49" s="5"/>
      <c r="R49" s="5"/>
      <c r="S49" s="5"/>
      <c r="T49" s="5">
        <f t="shared" si="7"/>
        <v>270000</v>
      </c>
      <c r="U49" s="7">
        <f>K49-T49</f>
        <v>2730000</v>
      </c>
      <c r="V49" s="8"/>
      <c r="W49" s="9"/>
      <c r="X49" s="8">
        <f t="shared" si="4"/>
        <v>2730000</v>
      </c>
    </row>
    <row r="50" spans="1:24" ht="24" customHeight="1" x14ac:dyDescent="0.25">
      <c r="A50" s="103"/>
      <c r="B50" s="13">
        <v>3</v>
      </c>
      <c r="C50" s="11" t="s">
        <v>74</v>
      </c>
      <c r="D50" s="6" t="s">
        <v>27</v>
      </c>
      <c r="E50" s="5">
        <v>4000000</v>
      </c>
      <c r="F50" s="5">
        <v>30</v>
      </c>
      <c r="G50" s="5">
        <f t="shared" si="30"/>
        <v>4000000.0000000005</v>
      </c>
      <c r="H50" s="5"/>
      <c r="I50" s="5"/>
      <c r="J50" s="5">
        <v>1333333</v>
      </c>
      <c r="K50" s="5">
        <f t="shared" si="32"/>
        <v>5333333</v>
      </c>
      <c r="L50" s="5">
        <f>+K50*4%</f>
        <v>213333.32</v>
      </c>
      <c r="M50" s="5">
        <f>+K50*5%</f>
        <v>266666.65000000002</v>
      </c>
      <c r="N50" s="5"/>
      <c r="O50" s="5"/>
      <c r="P50" s="17">
        <v>3000</v>
      </c>
      <c r="Q50" s="5"/>
      <c r="R50" s="5">
        <v>163485</v>
      </c>
      <c r="S50" s="5"/>
      <c r="T50" s="5">
        <f t="shared" si="7"/>
        <v>646484.97</v>
      </c>
      <c r="U50" s="7">
        <f>+K50-T50</f>
        <v>4686848.03</v>
      </c>
      <c r="V50" s="8"/>
      <c r="W50" s="9"/>
      <c r="X50" s="8">
        <f t="shared" si="4"/>
        <v>4686848.03</v>
      </c>
    </row>
    <row r="51" spans="1:24" ht="25.5" customHeight="1" x14ac:dyDescent="0.25">
      <c r="A51" s="103"/>
      <c r="B51" s="13">
        <v>4</v>
      </c>
      <c r="C51" s="11" t="s">
        <v>75</v>
      </c>
      <c r="D51" s="6" t="s">
        <v>27</v>
      </c>
      <c r="E51" s="5">
        <v>800000</v>
      </c>
      <c r="F51" s="5">
        <v>30</v>
      </c>
      <c r="G51" s="5">
        <f t="shared" si="30"/>
        <v>800000</v>
      </c>
      <c r="H51" s="5">
        <v>83140</v>
      </c>
      <c r="I51" s="5"/>
      <c r="J51" s="5"/>
      <c r="K51" s="5">
        <f t="shared" si="32"/>
        <v>883140</v>
      </c>
      <c r="L51" s="5">
        <f>+G51*4%</f>
        <v>32000</v>
      </c>
      <c r="M51" s="5">
        <f>+G51*4%</f>
        <v>32000</v>
      </c>
      <c r="N51" s="5"/>
      <c r="O51" s="5"/>
      <c r="P51" s="17"/>
      <c r="Q51" s="5"/>
      <c r="R51" s="5"/>
      <c r="S51" s="5"/>
      <c r="T51" s="5">
        <f t="shared" ref="T51" si="42">SUM(L51:S51)</f>
        <v>64000</v>
      </c>
      <c r="U51" s="7">
        <f>+K51-T51</f>
        <v>819140</v>
      </c>
      <c r="V51" s="8"/>
      <c r="W51" s="9"/>
      <c r="X51" s="8">
        <f t="shared" si="4"/>
        <v>819140</v>
      </c>
    </row>
    <row r="52" spans="1:24" x14ac:dyDescent="0.25">
      <c r="A52" s="103"/>
      <c r="B52" s="13">
        <v>5</v>
      </c>
      <c r="C52" s="3" t="s">
        <v>76</v>
      </c>
      <c r="D52" s="4" t="s">
        <v>27</v>
      </c>
      <c r="E52" s="5">
        <v>1600000</v>
      </c>
      <c r="F52" s="5">
        <v>30</v>
      </c>
      <c r="G52" s="5">
        <f t="shared" si="30"/>
        <v>1600000</v>
      </c>
      <c r="H52" s="5"/>
      <c r="I52" s="5"/>
      <c r="J52" s="5"/>
      <c r="K52" s="5">
        <f t="shared" ref="K52" si="43">SUM(G52:I52)+J52</f>
        <v>1600000</v>
      </c>
      <c r="L52" s="5">
        <f>+G52*4%</f>
        <v>64000</v>
      </c>
      <c r="M52" s="5">
        <f>+G52*4%</f>
        <v>64000</v>
      </c>
      <c r="N52" s="5"/>
      <c r="O52" s="5"/>
      <c r="P52" s="5"/>
      <c r="Q52" s="5"/>
      <c r="R52" s="5"/>
      <c r="S52" s="5"/>
      <c r="T52" s="5">
        <f t="shared" si="7"/>
        <v>128000</v>
      </c>
      <c r="U52" s="7">
        <f>K52-T52</f>
        <v>1472000</v>
      </c>
      <c r="V52" s="8"/>
      <c r="W52" s="9"/>
      <c r="X52" s="8">
        <f t="shared" si="4"/>
        <v>1472000</v>
      </c>
    </row>
    <row r="53" spans="1:24" ht="18" customHeight="1" x14ac:dyDescent="0.25">
      <c r="A53" s="103"/>
      <c r="B53" s="13">
        <v>6</v>
      </c>
      <c r="C53" s="11" t="s">
        <v>77</v>
      </c>
      <c r="D53" s="6" t="s">
        <v>27</v>
      </c>
      <c r="E53" s="5">
        <v>737717</v>
      </c>
      <c r="F53" s="5">
        <v>30</v>
      </c>
      <c r="G53" s="5">
        <f t="shared" si="30"/>
        <v>737717</v>
      </c>
      <c r="H53" s="5">
        <f t="shared" ref="H53:H56" si="44">+(83140/30)*F53</f>
        <v>83140</v>
      </c>
      <c r="I53" s="5"/>
      <c r="J53" s="5"/>
      <c r="K53" s="5">
        <f>SUM(G53:I53)+J53</f>
        <v>820857</v>
      </c>
      <c r="L53" s="5">
        <v>29509</v>
      </c>
      <c r="M53" s="5">
        <v>29509</v>
      </c>
      <c r="N53" s="5"/>
      <c r="O53" s="5"/>
      <c r="P53" s="17"/>
      <c r="Q53" s="5"/>
      <c r="R53" s="5"/>
      <c r="S53" s="5"/>
      <c r="T53" s="5">
        <f>+L53+M53</f>
        <v>59018</v>
      </c>
      <c r="U53" s="7">
        <f>+K53-T53</f>
        <v>761839</v>
      </c>
      <c r="V53" s="8"/>
      <c r="W53" s="9"/>
      <c r="X53" s="8">
        <f t="shared" si="4"/>
        <v>761839</v>
      </c>
    </row>
    <row r="54" spans="1:24" x14ac:dyDescent="0.25">
      <c r="A54" s="103"/>
      <c r="B54" s="13">
        <v>7</v>
      </c>
      <c r="C54" s="3" t="s">
        <v>78</v>
      </c>
      <c r="D54" s="4" t="s">
        <v>27</v>
      </c>
      <c r="E54" s="5">
        <v>1200000</v>
      </c>
      <c r="F54" s="5">
        <v>30</v>
      </c>
      <c r="G54" s="5">
        <f t="shared" si="30"/>
        <v>1200000</v>
      </c>
      <c r="H54" s="5">
        <f t="shared" si="44"/>
        <v>83140</v>
      </c>
      <c r="I54" s="5"/>
      <c r="J54" s="5"/>
      <c r="K54" s="5">
        <f t="shared" ref="K54" si="45">SUM(G54:I54)+J54</f>
        <v>1283140</v>
      </c>
      <c r="L54" s="5">
        <f>+G54*4%</f>
        <v>48000</v>
      </c>
      <c r="M54" s="5">
        <v>48000</v>
      </c>
      <c r="N54" s="5"/>
      <c r="O54" s="5"/>
      <c r="P54" s="5"/>
      <c r="Q54" s="5"/>
      <c r="R54" s="5"/>
      <c r="S54" s="5"/>
      <c r="T54" s="5">
        <f t="shared" ref="T54:T115" si="46">SUM(L54:S54)</f>
        <v>96000</v>
      </c>
      <c r="U54" s="7">
        <f>K54-T54</f>
        <v>1187140</v>
      </c>
      <c r="V54" s="8"/>
      <c r="W54" s="9"/>
      <c r="X54" s="8">
        <f t="shared" si="4"/>
        <v>1187140</v>
      </c>
    </row>
    <row r="55" spans="1:24" x14ac:dyDescent="0.25">
      <c r="A55" s="103"/>
      <c r="B55" s="13">
        <v>8</v>
      </c>
      <c r="C55" s="3" t="s">
        <v>164</v>
      </c>
      <c r="D55" s="4"/>
      <c r="E55" s="5">
        <v>2500000</v>
      </c>
      <c r="F55" s="5">
        <v>23</v>
      </c>
      <c r="G55" s="5">
        <f t="shared" si="30"/>
        <v>1916666.6666666665</v>
      </c>
      <c r="H55" s="5"/>
      <c r="I55" s="5"/>
      <c r="J55" s="5">
        <v>159722</v>
      </c>
      <c r="K55" s="5">
        <f t="shared" ref="K55:K56" si="47">SUM(G55:I55)+J55</f>
        <v>2076388.6666666665</v>
      </c>
      <c r="L55" s="5">
        <f>+G55*4%</f>
        <v>76666.666666666657</v>
      </c>
      <c r="M55" s="5">
        <f>+G55*4%</f>
        <v>76666.666666666657</v>
      </c>
      <c r="N55" s="5"/>
      <c r="O55" s="5"/>
      <c r="P55" s="5"/>
      <c r="Q55" s="5"/>
      <c r="R55" s="5"/>
      <c r="S55" s="5"/>
      <c r="T55" s="5">
        <f t="shared" ref="T55:T56" si="48">SUM(L55:S55)</f>
        <v>153333.33333333331</v>
      </c>
      <c r="U55" s="7">
        <f>K55-T55</f>
        <v>1923055.3333333333</v>
      </c>
      <c r="V55" s="8"/>
      <c r="W55" s="9"/>
      <c r="X55" s="8">
        <f t="shared" si="4"/>
        <v>1923055.3333333333</v>
      </c>
    </row>
    <row r="56" spans="1:24" x14ac:dyDescent="0.25">
      <c r="A56" s="103"/>
      <c r="B56" s="13">
        <v>9</v>
      </c>
      <c r="C56" s="11" t="s">
        <v>80</v>
      </c>
      <c r="D56" s="6" t="s">
        <v>27</v>
      </c>
      <c r="E56" s="5">
        <v>737717</v>
      </c>
      <c r="F56" s="5">
        <v>30</v>
      </c>
      <c r="G56" s="5">
        <v>590202</v>
      </c>
      <c r="H56" s="5">
        <f t="shared" si="44"/>
        <v>83140</v>
      </c>
      <c r="I56" s="5"/>
      <c r="J56" s="5"/>
      <c r="K56" s="5">
        <f t="shared" si="47"/>
        <v>673342</v>
      </c>
      <c r="L56" s="5">
        <v>29509</v>
      </c>
      <c r="M56" s="5">
        <v>29509</v>
      </c>
      <c r="N56" s="5"/>
      <c r="O56" s="5">
        <v>16933</v>
      </c>
      <c r="P56" s="17"/>
      <c r="Q56" s="5"/>
      <c r="R56" s="5"/>
      <c r="S56" s="5"/>
      <c r="T56" s="5">
        <f t="shared" si="48"/>
        <v>75951</v>
      </c>
      <c r="U56" s="7">
        <f t="shared" ref="U56:U64" si="49">+K56-T56</f>
        <v>597391</v>
      </c>
      <c r="V56" s="8"/>
      <c r="W56" s="9"/>
      <c r="X56" s="8">
        <f t="shared" si="4"/>
        <v>597391</v>
      </c>
    </row>
    <row r="57" spans="1:24" ht="24" x14ac:dyDescent="0.25">
      <c r="A57" s="103"/>
      <c r="B57" s="13">
        <v>10</v>
      </c>
      <c r="C57" s="11" t="s">
        <v>81</v>
      </c>
      <c r="D57" s="6" t="s">
        <v>27</v>
      </c>
      <c r="E57" s="5">
        <v>1500000</v>
      </c>
      <c r="F57" s="5">
        <v>30</v>
      </c>
      <c r="G57" s="5">
        <f>513338+800000</f>
        <v>1313338</v>
      </c>
      <c r="H57" s="5">
        <v>83140</v>
      </c>
      <c r="I57" s="5"/>
      <c r="J57" s="5"/>
      <c r="K57" s="5">
        <f t="shared" ref="K57" si="50">SUM(G57:I57)+J57</f>
        <v>1396478</v>
      </c>
      <c r="L57" s="5">
        <v>52533</v>
      </c>
      <c r="M57" s="5">
        <v>52533</v>
      </c>
      <c r="N57" s="5"/>
      <c r="O57" s="5"/>
      <c r="P57" s="17"/>
      <c r="Q57" s="5"/>
      <c r="R57" s="5"/>
      <c r="S57" s="5"/>
      <c r="T57" s="5">
        <f t="shared" ref="T57" si="51">SUM(L57:S57)</f>
        <v>105066</v>
      </c>
      <c r="U57" s="7">
        <f t="shared" si="49"/>
        <v>1291412</v>
      </c>
      <c r="V57" s="8"/>
      <c r="W57" s="9"/>
      <c r="X57" s="8">
        <f t="shared" si="4"/>
        <v>1291412</v>
      </c>
    </row>
    <row r="58" spans="1:24" ht="21.75" customHeight="1" x14ac:dyDescent="0.25">
      <c r="A58" s="103"/>
      <c r="B58" s="13">
        <v>11</v>
      </c>
      <c r="C58" s="11" t="s">
        <v>82</v>
      </c>
      <c r="D58" s="6" t="s">
        <v>27</v>
      </c>
      <c r="E58" s="5">
        <v>1450000</v>
      </c>
      <c r="F58" s="5">
        <v>30</v>
      </c>
      <c r="G58" s="5">
        <f t="shared" ref="G58:G61" si="52">+E58/30*F58</f>
        <v>1450000</v>
      </c>
      <c r="H58" s="5">
        <f>+(83140/30)*F58</f>
        <v>83140</v>
      </c>
      <c r="I58" s="5"/>
      <c r="J58" s="5"/>
      <c r="K58" s="5">
        <f t="shared" si="32"/>
        <v>1533140</v>
      </c>
      <c r="L58" s="5">
        <f>+G58*4%</f>
        <v>58000</v>
      </c>
      <c r="M58" s="5">
        <f>+G58*4%</f>
        <v>58000</v>
      </c>
      <c r="N58" s="5"/>
      <c r="O58" s="5"/>
      <c r="P58" s="5">
        <v>0</v>
      </c>
      <c r="Q58" s="5"/>
      <c r="R58" s="5"/>
      <c r="S58" s="5"/>
      <c r="T58" s="5">
        <f t="shared" si="46"/>
        <v>116000</v>
      </c>
      <c r="U58" s="7">
        <f t="shared" si="49"/>
        <v>1417140</v>
      </c>
      <c r="V58" s="8"/>
      <c r="W58" s="9"/>
      <c r="X58" s="8">
        <f t="shared" si="4"/>
        <v>1417140</v>
      </c>
    </row>
    <row r="59" spans="1:24" x14ac:dyDescent="0.25">
      <c r="A59" s="103"/>
      <c r="B59" s="13">
        <v>12</v>
      </c>
      <c r="C59" s="11" t="s">
        <v>83</v>
      </c>
      <c r="D59" s="6" t="s">
        <v>27</v>
      </c>
      <c r="E59" s="5">
        <v>737717</v>
      </c>
      <c r="F59" s="5">
        <v>30</v>
      </c>
      <c r="G59" s="5">
        <f t="shared" si="52"/>
        <v>737717</v>
      </c>
      <c r="H59" s="5">
        <v>83140</v>
      </c>
      <c r="I59" s="5"/>
      <c r="J59" s="5"/>
      <c r="K59" s="5">
        <f t="shared" ref="K59" si="53">SUM(G59:I59)+J59</f>
        <v>820857</v>
      </c>
      <c r="L59" s="5">
        <v>29509</v>
      </c>
      <c r="M59" s="5">
        <v>29509</v>
      </c>
      <c r="N59" s="5"/>
      <c r="O59" s="5"/>
      <c r="P59" s="17"/>
      <c r="Q59" s="5"/>
      <c r="R59" s="5"/>
      <c r="S59" s="5"/>
      <c r="T59" s="5">
        <f t="shared" si="46"/>
        <v>59018</v>
      </c>
      <c r="U59" s="7">
        <f t="shared" si="49"/>
        <v>761839</v>
      </c>
      <c r="V59" s="8"/>
      <c r="W59" s="9"/>
      <c r="X59" s="8">
        <f t="shared" si="4"/>
        <v>761839</v>
      </c>
    </row>
    <row r="60" spans="1:24" ht="17.25" customHeight="1" x14ac:dyDescent="0.25">
      <c r="A60" s="103"/>
      <c r="B60" s="13">
        <v>13</v>
      </c>
      <c r="C60" s="11" t="s">
        <v>84</v>
      </c>
      <c r="D60" s="6" t="s">
        <v>27</v>
      </c>
      <c r="E60" s="5">
        <v>3500000</v>
      </c>
      <c r="F60" s="5">
        <v>30</v>
      </c>
      <c r="G60" s="5">
        <f>+E60-J60</f>
        <v>3500000</v>
      </c>
      <c r="H60" s="5"/>
      <c r="I60" s="5"/>
      <c r="J60" s="5">
        <v>0</v>
      </c>
      <c r="K60" s="5">
        <f t="shared" ref="K60" si="54">SUM(G60:I60)+J60</f>
        <v>3500000</v>
      </c>
      <c r="L60" s="5">
        <f>+E60*4%</f>
        <v>140000</v>
      </c>
      <c r="M60" s="5">
        <f>+E60*5%</f>
        <v>175000</v>
      </c>
      <c r="N60" s="5"/>
      <c r="O60" s="5"/>
      <c r="P60" s="5">
        <v>0</v>
      </c>
      <c r="Q60" s="5"/>
      <c r="R60" s="5"/>
      <c r="S60" s="5"/>
      <c r="T60" s="5">
        <f t="shared" ref="T60" si="55">SUM(L60:S60)</f>
        <v>315000</v>
      </c>
      <c r="U60" s="7">
        <f t="shared" si="49"/>
        <v>3185000</v>
      </c>
      <c r="V60" s="8"/>
      <c r="W60" s="9"/>
      <c r="X60" s="8">
        <f t="shared" si="4"/>
        <v>3185000</v>
      </c>
    </row>
    <row r="61" spans="1:24" ht="17.25" customHeight="1" x14ac:dyDescent="0.25">
      <c r="A61" s="103"/>
      <c r="B61" s="13">
        <v>14</v>
      </c>
      <c r="C61" s="11" t="s">
        <v>85</v>
      </c>
      <c r="D61" s="6" t="s">
        <v>27</v>
      </c>
      <c r="E61" s="5">
        <v>2500000</v>
      </c>
      <c r="F61" s="5">
        <v>22</v>
      </c>
      <c r="G61" s="5">
        <f t="shared" si="52"/>
        <v>1833333.3333333333</v>
      </c>
      <c r="H61" s="5"/>
      <c r="I61" s="5"/>
      <c r="J61" s="5"/>
      <c r="K61" s="5">
        <f t="shared" si="32"/>
        <v>1833333.3333333333</v>
      </c>
      <c r="L61" s="5">
        <f>+K61*4%</f>
        <v>73333.333333333328</v>
      </c>
      <c r="M61" s="5">
        <f>+K61*4%</f>
        <v>73333.333333333328</v>
      </c>
      <c r="N61" s="5"/>
      <c r="O61" s="5"/>
      <c r="P61" s="5">
        <v>0</v>
      </c>
      <c r="Q61" s="5"/>
      <c r="R61" s="5"/>
      <c r="S61" s="5">
        <v>200210</v>
      </c>
      <c r="T61" s="5">
        <f t="shared" si="46"/>
        <v>346876.66666666663</v>
      </c>
      <c r="U61" s="7">
        <f t="shared" si="49"/>
        <v>1486456.6666666665</v>
      </c>
      <c r="V61" s="8"/>
      <c r="W61" s="9"/>
      <c r="X61" s="8">
        <f t="shared" si="4"/>
        <v>1486456.6666666665</v>
      </c>
    </row>
    <row r="62" spans="1:24" ht="17.25" customHeight="1" x14ac:dyDescent="0.25">
      <c r="A62" s="103"/>
      <c r="B62" s="13">
        <v>15</v>
      </c>
      <c r="C62" s="11" t="s">
        <v>86</v>
      </c>
      <c r="D62" s="6" t="s">
        <v>27</v>
      </c>
      <c r="E62" s="5">
        <v>1200000</v>
      </c>
      <c r="F62" s="5">
        <v>30</v>
      </c>
      <c r="G62" s="5">
        <f>E62/30*F62</f>
        <v>1200000</v>
      </c>
      <c r="H62" s="5">
        <f>+(83140/30)*F62</f>
        <v>83140</v>
      </c>
      <c r="I62" s="5"/>
      <c r="J62" s="5">
        <f>+E62-G62</f>
        <v>0</v>
      </c>
      <c r="K62" s="5">
        <f t="shared" ref="K62" si="56">SUM(G62:I62)+J62</f>
        <v>1283140</v>
      </c>
      <c r="L62" s="5">
        <v>48000</v>
      </c>
      <c r="M62" s="5">
        <v>48000</v>
      </c>
      <c r="N62" s="5"/>
      <c r="O62" s="5"/>
      <c r="P62" s="5">
        <v>0</v>
      </c>
      <c r="Q62" s="5"/>
      <c r="R62" s="5"/>
      <c r="S62" s="5"/>
      <c r="T62" s="5">
        <f t="shared" ref="T62:T63" si="57">SUM(L62:S62)</f>
        <v>96000</v>
      </c>
      <c r="U62" s="7">
        <f t="shared" si="49"/>
        <v>1187140</v>
      </c>
      <c r="V62" s="8"/>
      <c r="W62" s="9"/>
      <c r="X62" s="8">
        <f t="shared" si="4"/>
        <v>1187140</v>
      </c>
    </row>
    <row r="63" spans="1:24" ht="17.25" customHeight="1" x14ac:dyDescent="0.25">
      <c r="A63" s="103"/>
      <c r="B63" s="13">
        <v>16</v>
      </c>
      <c r="C63" s="11" t="s">
        <v>87</v>
      </c>
      <c r="D63" s="6" t="s">
        <v>27</v>
      </c>
      <c r="E63" s="5">
        <v>900000</v>
      </c>
      <c r="F63" s="5">
        <v>30</v>
      </c>
      <c r="G63" s="5">
        <f>E63/30*F63</f>
        <v>900000</v>
      </c>
      <c r="H63" s="5">
        <f>+(83140/30)*F63</f>
        <v>83140</v>
      </c>
      <c r="I63" s="5"/>
      <c r="J63" s="5"/>
      <c r="K63" s="5">
        <f t="shared" ref="K63" si="58">SUM(G63:I63)+J63</f>
        <v>983140</v>
      </c>
      <c r="L63" s="5">
        <f>+G63*4%</f>
        <v>36000</v>
      </c>
      <c r="M63" s="5">
        <f t="shared" ref="M63" si="59">+G63*4%</f>
        <v>36000</v>
      </c>
      <c r="N63" s="5"/>
      <c r="O63" s="5"/>
      <c r="P63" s="5">
        <v>0</v>
      </c>
      <c r="Q63" s="5"/>
      <c r="R63" s="5"/>
      <c r="S63" s="5"/>
      <c r="T63" s="5">
        <f t="shared" si="57"/>
        <v>72000</v>
      </c>
      <c r="U63" s="7">
        <f t="shared" si="49"/>
        <v>911140</v>
      </c>
      <c r="V63" s="8"/>
      <c r="W63" s="9"/>
      <c r="X63" s="8">
        <f t="shared" si="4"/>
        <v>911140</v>
      </c>
    </row>
    <row r="64" spans="1:24" ht="24" x14ac:dyDescent="0.25">
      <c r="A64" s="103"/>
      <c r="B64" s="13">
        <v>17</v>
      </c>
      <c r="C64" s="11" t="s">
        <v>88</v>
      </c>
      <c r="D64" s="6" t="s">
        <v>27</v>
      </c>
      <c r="E64" s="5">
        <v>2000000</v>
      </c>
      <c r="F64" s="5">
        <v>30</v>
      </c>
      <c r="G64" s="5">
        <f>E64/30*F64</f>
        <v>2000000.0000000002</v>
      </c>
      <c r="H64" s="5"/>
      <c r="I64" s="5"/>
      <c r="J64" s="5">
        <f>+E64-G64</f>
        <v>0</v>
      </c>
      <c r="K64" s="5">
        <f t="shared" si="32"/>
        <v>2000000.0000000002</v>
      </c>
      <c r="L64" s="5">
        <f>+G64*4%</f>
        <v>80000.000000000015</v>
      </c>
      <c r="M64" s="5">
        <v>80000</v>
      </c>
      <c r="N64" s="5"/>
      <c r="O64" s="5"/>
      <c r="P64" s="5">
        <v>0</v>
      </c>
      <c r="Q64" s="5"/>
      <c r="R64" s="5"/>
      <c r="S64" s="5">
        <v>323803</v>
      </c>
      <c r="T64" s="5">
        <f t="shared" si="46"/>
        <v>483803</v>
      </c>
      <c r="U64" s="7">
        <f t="shared" si="49"/>
        <v>1516197.0000000002</v>
      </c>
      <c r="V64" s="8"/>
      <c r="W64" s="9"/>
      <c r="X64" s="8">
        <f t="shared" si="4"/>
        <v>1516197.0000000002</v>
      </c>
    </row>
    <row r="65" spans="1:27" x14ac:dyDescent="0.25">
      <c r="A65" s="103"/>
      <c r="B65" s="13">
        <v>18</v>
      </c>
      <c r="C65" s="3" t="s">
        <v>89</v>
      </c>
      <c r="D65" s="4" t="s">
        <v>27</v>
      </c>
      <c r="E65" s="5">
        <v>3500000</v>
      </c>
      <c r="F65" s="5">
        <v>19</v>
      </c>
      <c r="G65" s="5">
        <f>E65/30*F65</f>
        <v>2216666.666666667</v>
      </c>
      <c r="H65" s="5"/>
      <c r="I65" s="5"/>
      <c r="J65" s="5">
        <v>1283333</v>
      </c>
      <c r="K65" s="5">
        <f t="shared" si="32"/>
        <v>3499999.666666667</v>
      </c>
      <c r="L65" s="5">
        <f>+K65*4%</f>
        <v>139999.98666666669</v>
      </c>
      <c r="M65" s="5">
        <f>+K65*5%</f>
        <v>174999.98333333337</v>
      </c>
      <c r="N65" s="5"/>
      <c r="O65" s="5"/>
      <c r="P65" s="5">
        <v>0</v>
      </c>
      <c r="Q65" s="5"/>
      <c r="R65" s="5"/>
      <c r="S65" s="5"/>
      <c r="T65" s="5">
        <f t="shared" si="46"/>
        <v>314999.97000000009</v>
      </c>
      <c r="U65" s="7">
        <f t="shared" ref="U65:U76" si="60">K65-T65</f>
        <v>3184999.6966666668</v>
      </c>
      <c r="V65" s="8"/>
      <c r="W65" s="9"/>
      <c r="X65" s="8">
        <f t="shared" si="4"/>
        <v>3184999.6966666668</v>
      </c>
    </row>
    <row r="66" spans="1:27" x14ac:dyDescent="0.25">
      <c r="A66" s="103"/>
      <c r="B66" s="13">
        <v>19</v>
      </c>
      <c r="C66" s="11" t="s">
        <v>90</v>
      </c>
      <c r="D66" s="6" t="s">
        <v>27</v>
      </c>
      <c r="E66" s="5">
        <v>4000000</v>
      </c>
      <c r="F66" s="5">
        <v>23</v>
      </c>
      <c r="G66" s="5">
        <f t="shared" ref="G66:G115" si="61">E66/30*F66</f>
        <v>3066666.666666667</v>
      </c>
      <c r="H66" s="5"/>
      <c r="I66" s="5">
        <v>300000</v>
      </c>
      <c r="J66" s="5">
        <v>933333</v>
      </c>
      <c r="K66" s="5">
        <f t="shared" si="32"/>
        <v>4299999.666666667</v>
      </c>
      <c r="L66" s="5">
        <v>160000</v>
      </c>
      <c r="M66" s="5">
        <v>200000</v>
      </c>
      <c r="N66" s="5"/>
      <c r="O66" s="5"/>
      <c r="P66" s="5">
        <v>3000</v>
      </c>
      <c r="Q66" s="5"/>
      <c r="R66" s="5"/>
      <c r="S66" s="5">
        <v>766229</v>
      </c>
      <c r="T66" s="5">
        <f t="shared" si="46"/>
        <v>1129229</v>
      </c>
      <c r="U66" s="7">
        <f t="shared" si="60"/>
        <v>3170770.666666667</v>
      </c>
      <c r="V66" s="8"/>
      <c r="W66" s="9"/>
      <c r="X66" s="8">
        <f t="shared" si="4"/>
        <v>3170770.666666667</v>
      </c>
    </row>
    <row r="67" spans="1:27" x14ac:dyDescent="0.25">
      <c r="A67" s="103"/>
      <c r="B67" s="13">
        <v>20</v>
      </c>
      <c r="C67" s="11" t="s">
        <v>91</v>
      </c>
      <c r="D67" s="6" t="s">
        <v>27</v>
      </c>
      <c r="E67" s="5">
        <v>800000</v>
      </c>
      <c r="F67" s="5">
        <v>30</v>
      </c>
      <c r="G67" s="5">
        <f t="shared" si="61"/>
        <v>800000</v>
      </c>
      <c r="H67" s="5">
        <f>+(83140/30)*F67</f>
        <v>83140</v>
      </c>
      <c r="I67" s="5"/>
      <c r="J67" s="5"/>
      <c r="K67" s="5">
        <f t="shared" si="32"/>
        <v>883140</v>
      </c>
      <c r="L67" s="5">
        <f>+G67*4%</f>
        <v>32000</v>
      </c>
      <c r="M67" s="5">
        <f>+G67*4%</f>
        <v>32000</v>
      </c>
      <c r="N67" s="5"/>
      <c r="O67" s="5"/>
      <c r="P67" s="5"/>
      <c r="Q67" s="5"/>
      <c r="R67" s="5"/>
      <c r="S67" s="5"/>
      <c r="T67" s="5">
        <f t="shared" si="46"/>
        <v>64000</v>
      </c>
      <c r="U67" s="7">
        <f t="shared" si="60"/>
        <v>819140</v>
      </c>
      <c r="V67" s="8"/>
      <c r="W67" s="9"/>
      <c r="X67" s="8">
        <f t="shared" si="4"/>
        <v>819140</v>
      </c>
    </row>
    <row r="68" spans="1:27" ht="17.25" customHeight="1" x14ac:dyDescent="0.25">
      <c r="A68" s="103"/>
      <c r="B68" s="13">
        <v>21</v>
      </c>
      <c r="C68" s="11" t="s">
        <v>92</v>
      </c>
      <c r="D68" s="6" t="s">
        <v>27</v>
      </c>
      <c r="E68" s="5">
        <v>3500000</v>
      </c>
      <c r="F68" s="5">
        <v>30</v>
      </c>
      <c r="G68" s="5">
        <f t="shared" si="61"/>
        <v>3500000</v>
      </c>
      <c r="H68" s="5">
        <v>0</v>
      </c>
      <c r="I68" s="5"/>
      <c r="J68" s="2"/>
      <c r="K68" s="5">
        <f t="shared" si="32"/>
        <v>3500000</v>
      </c>
      <c r="L68" s="5">
        <v>140000</v>
      </c>
      <c r="M68" s="5">
        <v>175000</v>
      </c>
      <c r="N68" s="5"/>
      <c r="O68" s="5"/>
      <c r="P68" s="5">
        <v>0</v>
      </c>
      <c r="Q68" s="5"/>
      <c r="R68" s="5"/>
      <c r="S68" s="5"/>
      <c r="T68" s="5">
        <f t="shared" si="46"/>
        <v>315000</v>
      </c>
      <c r="U68" s="7">
        <f t="shared" si="60"/>
        <v>3185000</v>
      </c>
      <c r="V68" s="8"/>
      <c r="W68" s="9"/>
      <c r="X68" s="8">
        <f t="shared" ref="X68:X113" si="62">U68+V68-W68</f>
        <v>3185000</v>
      </c>
    </row>
    <row r="69" spans="1:27" ht="17.25" customHeight="1" x14ac:dyDescent="0.25">
      <c r="A69" s="103"/>
      <c r="B69" s="13">
        <v>22</v>
      </c>
      <c r="C69" s="11" t="s">
        <v>93</v>
      </c>
      <c r="D69" s="6" t="s">
        <v>27</v>
      </c>
      <c r="E69" s="5">
        <v>1200000</v>
      </c>
      <c r="F69" s="5">
        <v>30</v>
      </c>
      <c r="G69" s="5">
        <f t="shared" si="61"/>
        <v>1200000</v>
      </c>
      <c r="H69" s="5">
        <f>+(83140/30)*F69</f>
        <v>83140</v>
      </c>
      <c r="I69" s="5"/>
      <c r="J69" s="5">
        <v>0</v>
      </c>
      <c r="K69" s="5">
        <f t="shared" ref="K69:K73" si="63">SUM(G69:I69)+J69</f>
        <v>1283140</v>
      </c>
      <c r="L69" s="5">
        <f>+E69*4%</f>
        <v>48000</v>
      </c>
      <c r="M69" s="5">
        <f>+E69*4%</f>
        <v>48000</v>
      </c>
      <c r="N69" s="5"/>
      <c r="O69" s="5"/>
      <c r="P69" s="5"/>
      <c r="Q69" s="5"/>
      <c r="R69" s="5"/>
      <c r="S69" s="5"/>
      <c r="T69" s="5">
        <f t="shared" ref="T69:T73" si="64">SUM(L69:S69)</f>
        <v>96000</v>
      </c>
      <c r="U69" s="7">
        <f t="shared" si="60"/>
        <v>1187140</v>
      </c>
      <c r="V69" s="8"/>
      <c r="W69" s="9"/>
      <c r="X69" s="8">
        <f t="shared" si="62"/>
        <v>1187140</v>
      </c>
    </row>
    <row r="70" spans="1:27" ht="17.25" customHeight="1" x14ac:dyDescent="0.25">
      <c r="A70" s="103"/>
      <c r="B70" s="13">
        <v>23</v>
      </c>
      <c r="C70" s="11" t="s">
        <v>165</v>
      </c>
      <c r="D70" s="6"/>
      <c r="E70" s="5">
        <v>2800000</v>
      </c>
      <c r="F70" s="5">
        <v>26</v>
      </c>
      <c r="G70" s="5">
        <f t="shared" si="61"/>
        <v>2426666.6666666665</v>
      </c>
      <c r="H70" s="5"/>
      <c r="I70" s="5"/>
      <c r="J70" s="5">
        <v>202222</v>
      </c>
      <c r="K70" s="5">
        <f t="shared" ref="K70:K71" si="65">SUM(G70:I70)+J70</f>
        <v>2628888.6666666665</v>
      </c>
      <c r="L70" s="5">
        <f>+G70*4%</f>
        <v>97066.666666666657</v>
      </c>
      <c r="M70" s="5">
        <f>+G70*4%</f>
        <v>97066.666666666657</v>
      </c>
      <c r="N70" s="5"/>
      <c r="O70" s="5"/>
      <c r="P70" s="5"/>
      <c r="Q70" s="5"/>
      <c r="R70" s="5"/>
      <c r="S70" s="5"/>
      <c r="T70" s="5">
        <f t="shared" si="64"/>
        <v>194133.33333333331</v>
      </c>
      <c r="U70" s="7">
        <f t="shared" si="60"/>
        <v>2434755.333333333</v>
      </c>
      <c r="V70" s="8"/>
      <c r="W70" s="9"/>
      <c r="X70" s="8">
        <f t="shared" si="62"/>
        <v>2434755.333333333</v>
      </c>
    </row>
    <row r="71" spans="1:27" ht="17.25" customHeight="1" x14ac:dyDescent="0.25">
      <c r="A71" s="103"/>
      <c r="B71" s="13">
        <v>24</v>
      </c>
      <c r="C71" s="11" t="s">
        <v>155</v>
      </c>
      <c r="D71" s="6"/>
      <c r="E71" s="5">
        <v>3500000</v>
      </c>
      <c r="F71" s="5">
        <v>30</v>
      </c>
      <c r="G71" s="5">
        <f t="shared" si="61"/>
        <v>3500000</v>
      </c>
      <c r="H71" s="5"/>
      <c r="I71" s="5"/>
      <c r="J71" s="5"/>
      <c r="K71" s="5">
        <f t="shared" si="65"/>
        <v>3500000</v>
      </c>
      <c r="L71" s="5">
        <f>+G71*4%</f>
        <v>140000</v>
      </c>
      <c r="M71" s="5">
        <f>+G71*5%</f>
        <v>175000</v>
      </c>
      <c r="N71" s="5"/>
      <c r="O71" s="5"/>
      <c r="P71" s="5"/>
      <c r="Q71" s="5"/>
      <c r="R71" s="5"/>
      <c r="S71" s="5"/>
      <c r="T71" s="5">
        <f t="shared" si="64"/>
        <v>315000</v>
      </c>
      <c r="U71" s="7">
        <f t="shared" si="60"/>
        <v>3185000</v>
      </c>
      <c r="V71" s="8"/>
      <c r="W71" s="9"/>
      <c r="X71" s="8">
        <f t="shared" si="62"/>
        <v>3185000</v>
      </c>
    </row>
    <row r="72" spans="1:27" ht="17.25" customHeight="1" x14ac:dyDescent="0.25">
      <c r="A72" s="103"/>
      <c r="B72" s="13">
        <v>25</v>
      </c>
      <c r="C72" s="11" t="s">
        <v>94</v>
      </c>
      <c r="D72" s="6"/>
      <c r="E72" s="5">
        <v>1030411</v>
      </c>
      <c r="F72" s="5">
        <v>30</v>
      </c>
      <c r="G72" s="5">
        <f t="shared" si="61"/>
        <v>1030411</v>
      </c>
      <c r="H72" s="5">
        <f>+(83140/30)*F72</f>
        <v>83140</v>
      </c>
      <c r="I72" s="5"/>
      <c r="J72" s="5"/>
      <c r="K72" s="5">
        <f t="shared" ref="K72" si="66">SUM(G72:I72)+J72</f>
        <v>1113551</v>
      </c>
      <c r="L72" s="5">
        <f>+G72*4%</f>
        <v>41216.44</v>
      </c>
      <c r="M72" s="5">
        <f>+G72*4%</f>
        <v>41216.44</v>
      </c>
      <c r="N72" s="5"/>
      <c r="O72" s="5"/>
      <c r="P72" s="5"/>
      <c r="Q72" s="5"/>
      <c r="R72" s="5"/>
      <c r="S72" s="5"/>
      <c r="T72" s="5">
        <f t="shared" si="64"/>
        <v>82432.88</v>
      </c>
      <c r="U72" s="7">
        <f t="shared" si="60"/>
        <v>1031118.12</v>
      </c>
      <c r="V72" s="8"/>
      <c r="W72" s="9"/>
      <c r="X72" s="8">
        <f t="shared" si="62"/>
        <v>1031118.12</v>
      </c>
    </row>
    <row r="73" spans="1:27" ht="20.25" customHeight="1" x14ac:dyDescent="0.25">
      <c r="A73" s="103"/>
      <c r="B73" s="13">
        <v>26</v>
      </c>
      <c r="C73" s="11" t="s">
        <v>166</v>
      </c>
      <c r="D73" s="6" t="s">
        <v>27</v>
      </c>
      <c r="E73" s="5">
        <v>900000</v>
      </c>
      <c r="F73" s="5">
        <v>30</v>
      </c>
      <c r="G73" s="5">
        <f t="shared" si="61"/>
        <v>900000</v>
      </c>
      <c r="H73" s="5">
        <v>83140</v>
      </c>
      <c r="I73" s="5"/>
      <c r="J73" s="5"/>
      <c r="K73" s="5">
        <f t="shared" si="63"/>
        <v>983140</v>
      </c>
      <c r="L73" s="5">
        <f>+G73*4%</f>
        <v>36000</v>
      </c>
      <c r="M73" s="5">
        <f>+G73*4%</f>
        <v>36000</v>
      </c>
      <c r="N73" s="5"/>
      <c r="O73" s="5"/>
      <c r="P73" s="5"/>
      <c r="Q73" s="5"/>
      <c r="R73" s="5"/>
      <c r="S73" s="5"/>
      <c r="T73" s="5">
        <f t="shared" si="64"/>
        <v>72000</v>
      </c>
      <c r="U73" s="7">
        <f>K73-T73</f>
        <v>911140</v>
      </c>
      <c r="V73" s="8"/>
      <c r="W73" s="9"/>
      <c r="X73" s="8">
        <f t="shared" si="62"/>
        <v>911140</v>
      </c>
    </row>
    <row r="74" spans="1:27" ht="15.75" customHeight="1" x14ac:dyDescent="0.25">
      <c r="A74" s="103"/>
      <c r="B74" s="13">
        <v>27</v>
      </c>
      <c r="C74" s="11" t="s">
        <v>167</v>
      </c>
      <c r="D74" s="6" t="s">
        <v>27</v>
      </c>
      <c r="E74" s="5">
        <v>2000000</v>
      </c>
      <c r="F74" s="5">
        <v>30</v>
      </c>
      <c r="G74" s="5">
        <f>+E74-J74</f>
        <v>1733333</v>
      </c>
      <c r="H74" s="5"/>
      <c r="I74" s="5"/>
      <c r="J74" s="5">
        <v>266667</v>
      </c>
      <c r="K74" s="5">
        <f t="shared" si="32"/>
        <v>2000000</v>
      </c>
      <c r="L74" s="5">
        <f>+K74*4%</f>
        <v>80000</v>
      </c>
      <c r="M74" s="5">
        <f>+K74*4%</f>
        <v>80000</v>
      </c>
      <c r="N74" s="5"/>
      <c r="O74" s="5"/>
      <c r="P74" s="5">
        <v>0</v>
      </c>
      <c r="Q74" s="5"/>
      <c r="R74" s="5"/>
      <c r="S74" s="5">
        <v>363928</v>
      </c>
      <c r="T74" s="5">
        <f t="shared" si="46"/>
        <v>523928</v>
      </c>
      <c r="U74" s="7">
        <f t="shared" si="60"/>
        <v>1476072</v>
      </c>
      <c r="V74" s="8"/>
      <c r="W74" s="9"/>
      <c r="X74" s="8">
        <f t="shared" si="62"/>
        <v>1476072</v>
      </c>
      <c r="AA74" s="10">
        <f>1196000+644000</f>
        <v>1840000</v>
      </c>
    </row>
    <row r="75" spans="1:27" ht="15.75" customHeight="1" x14ac:dyDescent="0.25">
      <c r="A75" s="103"/>
      <c r="B75" s="13">
        <v>28</v>
      </c>
      <c r="C75" s="11" t="s">
        <v>156</v>
      </c>
      <c r="D75" s="6"/>
      <c r="E75" s="5">
        <v>368858</v>
      </c>
      <c r="F75" s="5">
        <v>30</v>
      </c>
      <c r="G75" s="5">
        <f t="shared" si="61"/>
        <v>368858</v>
      </c>
      <c r="H75" s="5"/>
      <c r="I75" s="5"/>
      <c r="J75" s="5"/>
      <c r="K75" s="5">
        <f t="shared" ref="K75" si="67">SUM(G75:I75)+J75</f>
        <v>368858</v>
      </c>
      <c r="L75" s="5"/>
      <c r="M75" s="5"/>
      <c r="N75" s="5"/>
      <c r="O75" s="5"/>
      <c r="P75" s="5"/>
      <c r="Q75" s="5"/>
      <c r="R75" s="5"/>
      <c r="S75" s="5"/>
      <c r="T75" s="5">
        <f t="shared" ref="T75" si="68">SUM(L75:S75)</f>
        <v>0</v>
      </c>
      <c r="U75" s="7">
        <f t="shared" si="60"/>
        <v>368858</v>
      </c>
      <c r="V75" s="8"/>
      <c r="W75" s="9"/>
      <c r="X75" s="8">
        <f t="shared" si="62"/>
        <v>368858</v>
      </c>
    </row>
    <row r="76" spans="1:27" x14ac:dyDescent="0.25">
      <c r="A76" s="103"/>
      <c r="B76" s="13">
        <v>29</v>
      </c>
      <c r="C76" s="3" t="s">
        <v>101</v>
      </c>
      <c r="D76" s="4" t="s">
        <v>27</v>
      </c>
      <c r="E76" s="5">
        <v>800000</v>
      </c>
      <c r="F76" s="5">
        <v>30</v>
      </c>
      <c r="G76" s="5">
        <f t="shared" si="61"/>
        <v>800000</v>
      </c>
      <c r="H76" s="5">
        <f>+(83140/30)*F76</f>
        <v>83140</v>
      </c>
      <c r="I76" s="5"/>
      <c r="J76" s="5"/>
      <c r="K76" s="5">
        <f t="shared" si="32"/>
        <v>883140</v>
      </c>
      <c r="L76" s="5">
        <f>+G76*4%</f>
        <v>32000</v>
      </c>
      <c r="M76" s="5">
        <f>+G76*4%</f>
        <v>32000</v>
      </c>
      <c r="N76" s="5"/>
      <c r="O76" s="5"/>
      <c r="P76" s="5"/>
      <c r="Q76" s="5"/>
      <c r="R76" s="5"/>
      <c r="S76" s="5"/>
      <c r="T76" s="5">
        <f t="shared" si="46"/>
        <v>64000</v>
      </c>
      <c r="U76" s="7">
        <f t="shared" si="60"/>
        <v>819140</v>
      </c>
      <c r="V76" s="8"/>
      <c r="W76" s="9"/>
      <c r="X76" s="8">
        <f t="shared" si="62"/>
        <v>819140</v>
      </c>
      <c r="AA76" s="10">
        <f>1840000-1196000</f>
        <v>644000</v>
      </c>
    </row>
    <row r="77" spans="1:27" x14ac:dyDescent="0.25">
      <c r="A77" s="103"/>
      <c r="B77" s="13">
        <v>30</v>
      </c>
      <c r="C77" s="11" t="s">
        <v>105</v>
      </c>
      <c r="D77" s="6" t="s">
        <v>27</v>
      </c>
      <c r="E77" s="5">
        <v>4000000</v>
      </c>
      <c r="F77" s="5">
        <v>30</v>
      </c>
      <c r="G77" s="5">
        <f t="shared" si="61"/>
        <v>4000000.0000000005</v>
      </c>
      <c r="H77" s="5"/>
      <c r="I77" s="5"/>
      <c r="J77" s="5">
        <v>1866667</v>
      </c>
      <c r="K77" s="5">
        <f t="shared" si="32"/>
        <v>5866667</v>
      </c>
      <c r="L77" s="5">
        <v>234667</v>
      </c>
      <c r="M77" s="5">
        <v>293334</v>
      </c>
      <c r="N77" s="5"/>
      <c r="O77" s="5"/>
      <c r="P77" s="5">
        <v>3000</v>
      </c>
      <c r="Q77" s="5"/>
      <c r="R77" s="5"/>
      <c r="S77" s="5"/>
      <c r="T77" s="5">
        <f t="shared" si="46"/>
        <v>531001</v>
      </c>
      <c r="U77" s="7">
        <f t="shared" ref="U77:U89" si="69">+K77-T77</f>
        <v>5335666</v>
      </c>
      <c r="V77" s="8"/>
      <c r="W77" s="9"/>
      <c r="X77" s="8">
        <f t="shared" si="62"/>
        <v>5335666</v>
      </c>
      <c r="Y77" s="10" t="s">
        <v>106</v>
      </c>
    </row>
    <row r="78" spans="1:27" x14ac:dyDescent="0.25">
      <c r="A78" s="103"/>
      <c r="B78" s="13">
        <v>31</v>
      </c>
      <c r="C78" s="11" t="s">
        <v>107</v>
      </c>
      <c r="D78" s="6" t="s">
        <v>27</v>
      </c>
      <c r="E78" s="5">
        <v>900000</v>
      </c>
      <c r="F78" s="5">
        <v>30</v>
      </c>
      <c r="G78" s="5">
        <f t="shared" si="61"/>
        <v>900000</v>
      </c>
      <c r="H78" s="5">
        <f>+(83140/30)*F78</f>
        <v>83140</v>
      </c>
      <c r="I78" s="5"/>
      <c r="J78" s="5"/>
      <c r="K78" s="5">
        <f t="shared" ref="K78" si="70">SUM(G78:I78)+J78</f>
        <v>983140</v>
      </c>
      <c r="L78" s="5">
        <f>+G78*4%</f>
        <v>36000</v>
      </c>
      <c r="M78" s="5">
        <f>+G78*4%</f>
        <v>36000</v>
      </c>
      <c r="N78" s="5"/>
      <c r="O78" s="5"/>
      <c r="P78" s="5">
        <v>0</v>
      </c>
      <c r="Q78" s="5"/>
      <c r="R78" s="5"/>
      <c r="S78" s="5"/>
      <c r="T78" s="5">
        <f t="shared" ref="T78" si="71">SUM(L78:S78)</f>
        <v>72000</v>
      </c>
      <c r="U78" s="7">
        <f t="shared" si="69"/>
        <v>911140</v>
      </c>
      <c r="V78" s="8"/>
      <c r="W78" s="9"/>
      <c r="X78" s="8">
        <f t="shared" si="62"/>
        <v>911140</v>
      </c>
      <c r="Y78" s="10" t="s">
        <v>106</v>
      </c>
    </row>
    <row r="79" spans="1:27" x14ac:dyDescent="0.25">
      <c r="A79" s="103"/>
      <c r="B79" s="13">
        <v>32</v>
      </c>
      <c r="C79" s="11" t="s">
        <v>108</v>
      </c>
      <c r="D79" s="6" t="s">
        <v>27</v>
      </c>
      <c r="E79" s="5">
        <v>3000000</v>
      </c>
      <c r="F79" s="5">
        <v>30</v>
      </c>
      <c r="G79" s="5">
        <f t="shared" si="61"/>
        <v>3000000</v>
      </c>
      <c r="H79" s="5"/>
      <c r="I79" s="5"/>
      <c r="J79" s="5"/>
      <c r="K79" s="5">
        <f t="shared" si="32"/>
        <v>3000000</v>
      </c>
      <c r="L79" s="5">
        <f>+E79*4%</f>
        <v>120000</v>
      </c>
      <c r="M79" s="5">
        <f>+E79*5%</f>
        <v>150000</v>
      </c>
      <c r="N79" s="5"/>
      <c r="O79" s="5"/>
      <c r="P79" s="17">
        <v>0</v>
      </c>
      <c r="Q79" s="5"/>
      <c r="R79" s="5"/>
      <c r="S79" s="5">
        <v>586000</v>
      </c>
      <c r="T79" s="5">
        <f t="shared" si="46"/>
        <v>856000</v>
      </c>
      <c r="U79" s="7">
        <f t="shared" si="69"/>
        <v>2144000</v>
      </c>
      <c r="V79" s="8"/>
      <c r="W79" s="9"/>
      <c r="X79" s="8">
        <f t="shared" si="62"/>
        <v>2144000</v>
      </c>
    </row>
    <row r="80" spans="1:27" x14ac:dyDescent="0.25">
      <c r="A80" s="103"/>
      <c r="B80" s="13">
        <v>33</v>
      </c>
      <c r="C80" s="11" t="s">
        <v>168</v>
      </c>
      <c r="D80" s="6"/>
      <c r="E80" s="5">
        <v>4500000</v>
      </c>
      <c r="F80" s="5">
        <v>16</v>
      </c>
      <c r="G80" s="5">
        <f t="shared" si="61"/>
        <v>2400000</v>
      </c>
      <c r="H80" s="5"/>
      <c r="I80" s="5"/>
      <c r="J80" s="5">
        <v>200000</v>
      </c>
      <c r="K80" s="5">
        <f t="shared" ref="K80:K84" si="72">SUM(G80:I80)+J80</f>
        <v>2600000</v>
      </c>
      <c r="L80" s="5">
        <f>+G80*4%</f>
        <v>96000</v>
      </c>
      <c r="M80" s="5">
        <f>+G80*4%</f>
        <v>96000</v>
      </c>
      <c r="N80" s="5"/>
      <c r="O80" s="5"/>
      <c r="P80" s="17">
        <v>18000</v>
      </c>
      <c r="Q80" s="5"/>
      <c r="R80" s="5"/>
      <c r="S80" s="5"/>
      <c r="T80" s="5">
        <f t="shared" ref="T80:T86" si="73">SUM(L80:S80)</f>
        <v>210000</v>
      </c>
      <c r="U80" s="7">
        <f t="shared" si="69"/>
        <v>2390000</v>
      </c>
      <c r="V80" s="8"/>
      <c r="W80" s="9"/>
      <c r="X80" s="8">
        <f t="shared" si="62"/>
        <v>2390000</v>
      </c>
    </row>
    <row r="81" spans="1:24" x14ac:dyDescent="0.25">
      <c r="A81" s="103"/>
      <c r="B81" s="13">
        <v>34</v>
      </c>
      <c r="C81" s="11" t="s">
        <v>109</v>
      </c>
      <c r="D81" s="6"/>
      <c r="E81" s="5">
        <v>4500000</v>
      </c>
      <c r="F81" s="5">
        <v>30</v>
      </c>
      <c r="G81" s="5">
        <f t="shared" si="61"/>
        <v>4500000</v>
      </c>
      <c r="H81" s="5"/>
      <c r="I81" s="5"/>
      <c r="J81" s="5"/>
      <c r="K81" s="5">
        <f t="shared" si="72"/>
        <v>4500000</v>
      </c>
      <c r="L81" s="5">
        <f>+G81*4%</f>
        <v>180000</v>
      </c>
      <c r="M81" s="5">
        <f>+G81*5%</f>
        <v>225000</v>
      </c>
      <c r="N81" s="5"/>
      <c r="O81" s="5"/>
      <c r="P81" s="17">
        <v>72000</v>
      </c>
      <c r="Q81" s="5"/>
      <c r="R81" s="5"/>
      <c r="S81" s="5"/>
      <c r="T81" s="5">
        <f t="shared" si="73"/>
        <v>477000</v>
      </c>
      <c r="U81" s="7">
        <f t="shared" si="69"/>
        <v>4023000</v>
      </c>
      <c r="V81" s="8"/>
      <c r="W81" s="9"/>
      <c r="X81" s="8">
        <f t="shared" si="62"/>
        <v>4023000</v>
      </c>
    </row>
    <row r="82" spans="1:24" x14ac:dyDescent="0.25">
      <c r="A82" s="103"/>
      <c r="B82" s="13">
        <v>35</v>
      </c>
      <c r="C82" s="11" t="s">
        <v>169</v>
      </c>
      <c r="D82" s="6"/>
      <c r="E82" s="5">
        <v>737717</v>
      </c>
      <c r="F82" s="5">
        <v>19</v>
      </c>
      <c r="G82" s="5">
        <f t="shared" si="61"/>
        <v>467220.76666666666</v>
      </c>
      <c r="H82" s="5">
        <f t="shared" ref="H82:H83" si="74">+(83140/30)*F82</f>
        <v>52655.333333333336</v>
      </c>
      <c r="I82" s="5"/>
      <c r="J82" s="5">
        <v>43323</v>
      </c>
      <c r="K82" s="5">
        <f t="shared" si="72"/>
        <v>563199.1</v>
      </c>
      <c r="L82" s="5">
        <f t="shared" ref="L82:L84" si="75">+G82*4%</f>
        <v>18688.830666666669</v>
      </c>
      <c r="M82" s="5">
        <f>+G82*4%</f>
        <v>18688.830666666669</v>
      </c>
      <c r="N82" s="5"/>
      <c r="O82" s="5"/>
      <c r="P82" s="17"/>
      <c r="Q82" s="5"/>
      <c r="R82" s="5"/>
      <c r="S82" s="5"/>
      <c r="T82" s="5">
        <f t="shared" si="73"/>
        <v>37377.661333333337</v>
      </c>
      <c r="U82" s="7">
        <f t="shared" si="69"/>
        <v>525821.43866666663</v>
      </c>
      <c r="V82" s="8"/>
      <c r="W82" s="9"/>
      <c r="X82" s="8">
        <f t="shared" si="62"/>
        <v>525821.43866666663</v>
      </c>
    </row>
    <row r="83" spans="1:24" x14ac:dyDescent="0.25">
      <c r="A83" s="103"/>
      <c r="B83" s="13">
        <v>36</v>
      </c>
      <c r="C83" s="11" t="s">
        <v>170</v>
      </c>
      <c r="D83" s="6"/>
      <c r="E83" s="5">
        <v>737717</v>
      </c>
      <c r="F83" s="5">
        <v>19</v>
      </c>
      <c r="G83" s="5">
        <f t="shared" si="61"/>
        <v>467220.76666666666</v>
      </c>
      <c r="H83" s="5">
        <f t="shared" si="74"/>
        <v>52655.333333333336</v>
      </c>
      <c r="I83" s="5"/>
      <c r="J83" s="5">
        <v>43323</v>
      </c>
      <c r="K83" s="5">
        <f t="shared" si="72"/>
        <v>563199.1</v>
      </c>
      <c r="L83" s="5">
        <f t="shared" si="75"/>
        <v>18688.830666666669</v>
      </c>
      <c r="M83" s="5">
        <f>+G83*4%</f>
        <v>18688.830666666669</v>
      </c>
      <c r="N83" s="5"/>
      <c r="O83" s="5"/>
      <c r="P83" s="17"/>
      <c r="Q83" s="5"/>
      <c r="R83" s="5"/>
      <c r="S83" s="5"/>
      <c r="T83" s="5">
        <f t="shared" si="73"/>
        <v>37377.661333333337</v>
      </c>
      <c r="U83" s="7">
        <f t="shared" si="69"/>
        <v>525821.43866666663</v>
      </c>
      <c r="V83" s="8"/>
      <c r="W83" s="9"/>
      <c r="X83" s="8">
        <f t="shared" si="62"/>
        <v>525821.43866666663</v>
      </c>
    </row>
    <row r="84" spans="1:24" x14ac:dyDescent="0.25">
      <c r="A84" s="103"/>
      <c r="B84" s="13">
        <v>37</v>
      </c>
      <c r="C84" s="11" t="s">
        <v>171</v>
      </c>
      <c r="D84" s="6"/>
      <c r="E84" s="5">
        <v>2500000</v>
      </c>
      <c r="F84" s="5">
        <v>26</v>
      </c>
      <c r="G84" s="5">
        <f t="shared" si="61"/>
        <v>2166666.6666666665</v>
      </c>
      <c r="H84" s="5"/>
      <c r="I84" s="5"/>
      <c r="J84" s="5">
        <v>180556</v>
      </c>
      <c r="K84" s="5">
        <f t="shared" si="72"/>
        <v>2347222.6666666665</v>
      </c>
      <c r="L84" s="5">
        <f t="shared" si="75"/>
        <v>86666.666666666657</v>
      </c>
      <c r="M84" s="5">
        <f>+G84*4%</f>
        <v>86666.666666666657</v>
      </c>
      <c r="N84" s="5"/>
      <c r="O84" s="5"/>
      <c r="P84" s="17"/>
      <c r="Q84" s="5"/>
      <c r="R84" s="5"/>
      <c r="S84" s="5"/>
      <c r="T84" s="5">
        <f t="shared" si="73"/>
        <v>173333.33333333331</v>
      </c>
      <c r="U84" s="7">
        <f t="shared" si="69"/>
        <v>2173889.333333333</v>
      </c>
      <c r="V84" s="8"/>
      <c r="W84" s="9"/>
      <c r="X84" s="8">
        <f t="shared" si="62"/>
        <v>2173889.333333333</v>
      </c>
    </row>
    <row r="85" spans="1:24" ht="24" x14ac:dyDescent="0.25">
      <c r="A85" s="103"/>
      <c r="B85" s="13">
        <v>38</v>
      </c>
      <c r="C85" s="11" t="s">
        <v>110</v>
      </c>
      <c r="D85" s="6" t="s">
        <v>27</v>
      </c>
      <c r="E85" s="5">
        <v>900000</v>
      </c>
      <c r="F85" s="5">
        <v>30</v>
      </c>
      <c r="G85" s="5">
        <f t="shared" si="61"/>
        <v>900000</v>
      </c>
      <c r="H85" s="5">
        <f>+(83140/30)*F85</f>
        <v>83140</v>
      </c>
      <c r="I85" s="5"/>
      <c r="J85" s="5"/>
      <c r="K85" s="5">
        <f t="shared" ref="K85" si="76">SUM(G85:I85)+J85</f>
        <v>983140</v>
      </c>
      <c r="L85" s="5">
        <f>+G85*4%</f>
        <v>36000</v>
      </c>
      <c r="M85" s="5">
        <f>+G85*4%</f>
        <v>36000</v>
      </c>
      <c r="N85" s="5"/>
      <c r="O85" s="5"/>
      <c r="P85" s="17">
        <v>0</v>
      </c>
      <c r="Q85" s="5"/>
      <c r="R85" s="5"/>
      <c r="S85" s="5"/>
      <c r="T85" s="5">
        <f t="shared" si="73"/>
        <v>72000</v>
      </c>
      <c r="U85" s="7">
        <f t="shared" si="69"/>
        <v>911140</v>
      </c>
      <c r="V85" s="8"/>
      <c r="W85" s="9"/>
      <c r="X85" s="8">
        <f t="shared" si="62"/>
        <v>911140</v>
      </c>
    </row>
    <row r="86" spans="1:24" x14ac:dyDescent="0.25">
      <c r="A86" s="103"/>
      <c r="B86" s="13">
        <v>39</v>
      </c>
      <c r="C86" s="11" t="s">
        <v>150</v>
      </c>
      <c r="D86" s="6"/>
      <c r="E86" s="5">
        <v>2000000</v>
      </c>
      <c r="F86" s="5">
        <v>30</v>
      </c>
      <c r="G86" s="5">
        <f t="shared" si="61"/>
        <v>2000000.0000000002</v>
      </c>
      <c r="H86" s="5"/>
      <c r="I86" s="5"/>
      <c r="J86" s="5"/>
      <c r="K86" s="5">
        <f t="shared" ref="K86" si="77">SUM(G86:I86)+J86</f>
        <v>2000000.0000000002</v>
      </c>
      <c r="L86" s="5">
        <f>+G86*4%</f>
        <v>80000.000000000015</v>
      </c>
      <c r="M86" s="5">
        <f>+G86*4%</f>
        <v>80000.000000000015</v>
      </c>
      <c r="N86" s="5"/>
      <c r="O86" s="5"/>
      <c r="P86" s="5">
        <v>0</v>
      </c>
      <c r="Q86" s="5"/>
      <c r="R86" s="5"/>
      <c r="S86" s="5"/>
      <c r="T86" s="5">
        <f t="shared" si="73"/>
        <v>160000.00000000003</v>
      </c>
      <c r="U86" s="7">
        <f t="shared" si="69"/>
        <v>1840000.0000000002</v>
      </c>
      <c r="V86" s="8"/>
      <c r="W86" s="9"/>
      <c r="X86" s="8">
        <f t="shared" si="62"/>
        <v>1840000.0000000002</v>
      </c>
    </row>
    <row r="87" spans="1:24" x14ac:dyDescent="0.25">
      <c r="A87" s="103"/>
      <c r="B87" s="13">
        <v>40</v>
      </c>
      <c r="C87" s="11" t="s">
        <v>172</v>
      </c>
      <c r="D87" s="6"/>
      <c r="E87" s="5">
        <v>3500000</v>
      </c>
      <c r="F87" s="5">
        <v>30</v>
      </c>
      <c r="G87" s="5">
        <f t="shared" si="61"/>
        <v>3500000</v>
      </c>
      <c r="H87" s="5"/>
      <c r="I87" s="5"/>
      <c r="J87" s="5">
        <v>291667</v>
      </c>
      <c r="K87" s="5">
        <f t="shared" ref="K87" si="78">SUM(G87:I87)+J87</f>
        <v>3791667</v>
      </c>
      <c r="L87" s="5">
        <f>+G87*4%</f>
        <v>140000</v>
      </c>
      <c r="M87" s="5">
        <f>+G87*5%</f>
        <v>175000</v>
      </c>
      <c r="N87" s="5"/>
      <c r="O87" s="5"/>
      <c r="P87" s="5">
        <v>0</v>
      </c>
      <c r="Q87" s="5"/>
      <c r="R87" s="5"/>
      <c r="S87" s="5"/>
      <c r="T87" s="5">
        <f t="shared" ref="T87" si="79">SUM(L87:S87)</f>
        <v>315000</v>
      </c>
      <c r="U87" s="7">
        <f t="shared" si="69"/>
        <v>3476667</v>
      </c>
      <c r="V87" s="8"/>
      <c r="W87" s="9"/>
      <c r="X87" s="8">
        <f t="shared" si="62"/>
        <v>3476667</v>
      </c>
    </row>
    <row r="88" spans="1:24" x14ac:dyDescent="0.25">
      <c r="A88" s="103"/>
      <c r="B88" s="13">
        <v>41</v>
      </c>
      <c r="C88" s="11" t="s">
        <v>111</v>
      </c>
      <c r="D88" s="6" t="s">
        <v>27</v>
      </c>
      <c r="E88" s="5">
        <v>2500000</v>
      </c>
      <c r="F88" s="5">
        <v>30</v>
      </c>
      <c r="G88" s="5">
        <f>+E88-J88</f>
        <v>1833333</v>
      </c>
      <c r="H88" s="5"/>
      <c r="I88" s="5"/>
      <c r="J88" s="5">
        <v>666667</v>
      </c>
      <c r="K88" s="5">
        <f t="shared" ref="K88:K115" si="80">SUM(G88:I88)+J88</f>
        <v>2500000</v>
      </c>
      <c r="L88" s="5">
        <v>100000</v>
      </c>
      <c r="M88" s="5">
        <v>100000</v>
      </c>
      <c r="N88" s="5"/>
      <c r="O88" s="5"/>
      <c r="P88" s="5">
        <v>0</v>
      </c>
      <c r="Q88" s="5"/>
      <c r="R88" s="5"/>
      <c r="S88" s="5">
        <v>257196</v>
      </c>
      <c r="T88" s="5">
        <f t="shared" si="46"/>
        <v>457196</v>
      </c>
      <c r="U88" s="7">
        <f t="shared" si="69"/>
        <v>2042804</v>
      </c>
      <c r="V88" s="8"/>
      <c r="W88" s="9"/>
      <c r="X88" s="8">
        <f t="shared" si="62"/>
        <v>2042804</v>
      </c>
    </row>
    <row r="89" spans="1:24" x14ac:dyDescent="0.25">
      <c r="A89" s="103"/>
      <c r="B89" s="13">
        <v>42</v>
      </c>
      <c r="C89" s="11" t="s">
        <v>112</v>
      </c>
      <c r="D89" s="6" t="s">
        <v>27</v>
      </c>
      <c r="E89" s="5">
        <v>4500000</v>
      </c>
      <c r="F89" s="5">
        <v>30</v>
      </c>
      <c r="G89" s="5">
        <f t="shared" si="61"/>
        <v>4500000</v>
      </c>
      <c r="H89" s="5"/>
      <c r="I89" s="5"/>
      <c r="J89" s="5"/>
      <c r="K89" s="5">
        <f t="shared" ref="K89:K90" si="81">SUM(G89:I89)+J89</f>
        <v>4500000</v>
      </c>
      <c r="L89" s="5">
        <v>180000</v>
      </c>
      <c r="M89" s="5">
        <v>225000</v>
      </c>
      <c r="N89" s="5"/>
      <c r="O89" s="5"/>
      <c r="P89" s="5">
        <v>72000</v>
      </c>
      <c r="Q89" s="5"/>
      <c r="R89" s="5"/>
      <c r="S89" s="5"/>
      <c r="T89" s="5">
        <f t="shared" ref="T89" si="82">SUM(L89:S89)</f>
        <v>477000</v>
      </c>
      <c r="U89" s="7">
        <f t="shared" si="69"/>
        <v>4023000</v>
      </c>
      <c r="V89" s="8"/>
      <c r="W89" s="9"/>
      <c r="X89" s="8">
        <f t="shared" si="62"/>
        <v>4023000</v>
      </c>
    </row>
    <row r="90" spans="1:24" x14ac:dyDescent="0.25">
      <c r="A90" s="103"/>
      <c r="B90" s="13">
        <v>43</v>
      </c>
      <c r="C90" s="11" t="s">
        <v>113</v>
      </c>
      <c r="D90" s="6" t="s">
        <v>27</v>
      </c>
      <c r="E90" s="5">
        <v>4500000</v>
      </c>
      <c r="F90" s="5">
        <v>30</v>
      </c>
      <c r="G90" s="5">
        <f>+E90-J90</f>
        <v>3900000</v>
      </c>
      <c r="H90" s="5"/>
      <c r="I90" s="5"/>
      <c r="J90" s="5">
        <v>600000</v>
      </c>
      <c r="K90" s="5">
        <f t="shared" si="81"/>
        <v>4500000</v>
      </c>
      <c r="L90" s="5">
        <f>+K90*4%</f>
        <v>180000</v>
      </c>
      <c r="M90" s="5">
        <f>+K90*5%</f>
        <v>225000</v>
      </c>
      <c r="N90" s="5"/>
      <c r="O90" s="5"/>
      <c r="P90" s="5">
        <v>8500</v>
      </c>
      <c r="Q90" s="5"/>
      <c r="R90" s="5"/>
      <c r="S90" s="5"/>
      <c r="T90" s="5">
        <f>SUM(L90:S90)</f>
        <v>413500</v>
      </c>
      <c r="U90" s="7">
        <f t="shared" ref="U90:U97" si="83">K90-T90</f>
        <v>4086500</v>
      </c>
      <c r="V90" s="8"/>
      <c r="W90" s="9"/>
      <c r="X90" s="8">
        <f t="shared" si="62"/>
        <v>4086500</v>
      </c>
    </row>
    <row r="91" spans="1:24" x14ac:dyDescent="0.25">
      <c r="A91" s="103"/>
      <c r="B91" s="13">
        <v>44</v>
      </c>
      <c r="C91" s="11" t="s">
        <v>114</v>
      </c>
      <c r="D91" s="6" t="s">
        <v>27</v>
      </c>
      <c r="E91" s="5">
        <v>3200000</v>
      </c>
      <c r="F91" s="5">
        <v>30</v>
      </c>
      <c r="G91" s="5">
        <f t="shared" si="61"/>
        <v>3200000</v>
      </c>
      <c r="H91" s="5"/>
      <c r="I91" s="5"/>
      <c r="J91" s="5">
        <f>+E91-G91</f>
        <v>0</v>
      </c>
      <c r="K91" s="5">
        <f t="shared" si="80"/>
        <v>3200000</v>
      </c>
      <c r="L91" s="5">
        <f>+G91*4%</f>
        <v>128000</v>
      </c>
      <c r="M91" s="5">
        <f>+G91*5%</f>
        <v>160000</v>
      </c>
      <c r="N91" s="5"/>
      <c r="O91" s="5"/>
      <c r="P91" s="5">
        <v>0</v>
      </c>
      <c r="Q91" s="5"/>
      <c r="R91" s="5"/>
      <c r="S91" s="5"/>
      <c r="T91" s="5">
        <f t="shared" si="46"/>
        <v>288000</v>
      </c>
      <c r="U91" s="7">
        <f t="shared" si="83"/>
        <v>2912000</v>
      </c>
      <c r="V91" s="8"/>
      <c r="W91" s="9"/>
      <c r="X91" s="8">
        <f t="shared" si="62"/>
        <v>2912000</v>
      </c>
    </row>
    <row r="92" spans="1:24" x14ac:dyDescent="0.25">
      <c r="A92" s="103"/>
      <c r="B92" s="13">
        <v>45</v>
      </c>
      <c r="C92" s="11" t="s">
        <v>116</v>
      </c>
      <c r="D92" s="6" t="s">
        <v>27</v>
      </c>
      <c r="E92" s="5">
        <v>900000</v>
      </c>
      <c r="F92" s="5">
        <v>30</v>
      </c>
      <c r="G92" s="5">
        <f t="shared" si="61"/>
        <v>900000</v>
      </c>
      <c r="H92" s="5">
        <f>+(83140/30)*F92</f>
        <v>83140</v>
      </c>
      <c r="I92" s="5"/>
      <c r="J92" s="5"/>
      <c r="K92" s="5">
        <f t="shared" ref="K92" si="84">SUM(G92:I92)+J92</f>
        <v>983140</v>
      </c>
      <c r="L92" s="5">
        <f>+G92*4%</f>
        <v>36000</v>
      </c>
      <c r="M92" s="5">
        <f>+G92*4%</f>
        <v>36000</v>
      </c>
      <c r="N92" s="5"/>
      <c r="O92" s="5"/>
      <c r="P92" s="5"/>
      <c r="Q92" s="5"/>
      <c r="R92" s="5"/>
      <c r="S92" s="5"/>
      <c r="T92" s="5">
        <f t="shared" ref="T92" si="85">SUM(L92:S92)</f>
        <v>72000</v>
      </c>
      <c r="U92" s="7">
        <f t="shared" si="83"/>
        <v>911140</v>
      </c>
      <c r="V92" s="8"/>
      <c r="W92" s="9"/>
      <c r="X92" s="8">
        <f t="shared" si="62"/>
        <v>911140</v>
      </c>
    </row>
    <row r="93" spans="1:24" x14ac:dyDescent="0.25">
      <c r="A93" s="103"/>
      <c r="B93" s="13">
        <v>46</v>
      </c>
      <c r="C93" s="11" t="s">
        <v>157</v>
      </c>
      <c r="D93" s="6"/>
      <c r="E93" s="5">
        <v>3200000</v>
      </c>
      <c r="F93" s="5">
        <v>30</v>
      </c>
      <c r="G93" s="5">
        <f t="shared" si="61"/>
        <v>3200000</v>
      </c>
      <c r="H93" s="5"/>
      <c r="I93" s="5"/>
      <c r="J93" s="5">
        <v>524444</v>
      </c>
      <c r="K93" s="5">
        <f>SUM(G93:I93)+J93</f>
        <v>3724444</v>
      </c>
      <c r="L93" s="5">
        <f>+G93*4%</f>
        <v>128000</v>
      </c>
      <c r="M93" s="5">
        <f>+G93*5%</f>
        <v>160000</v>
      </c>
      <c r="N93" s="5"/>
      <c r="O93" s="5"/>
      <c r="P93" s="5"/>
      <c r="Q93" s="5"/>
      <c r="R93" s="5"/>
      <c r="S93" s="5"/>
      <c r="T93" s="5">
        <f t="shared" ref="T93" si="86">SUM(L93:S93)</f>
        <v>288000</v>
      </c>
      <c r="U93" s="7">
        <f t="shared" si="83"/>
        <v>3436444</v>
      </c>
      <c r="V93" s="8"/>
      <c r="W93" s="9"/>
      <c r="X93" s="8"/>
    </row>
    <row r="94" spans="1:24" ht="23.25" customHeight="1" x14ac:dyDescent="0.25">
      <c r="A94" s="103"/>
      <c r="B94" s="13">
        <v>47</v>
      </c>
      <c r="C94" s="3" t="s">
        <v>117</v>
      </c>
      <c r="D94" s="4" t="s">
        <v>27</v>
      </c>
      <c r="E94" s="5">
        <v>737717</v>
      </c>
      <c r="F94" s="5">
        <v>30</v>
      </c>
      <c r="G94" s="5">
        <f t="shared" si="61"/>
        <v>737717</v>
      </c>
      <c r="H94" s="5">
        <v>83140</v>
      </c>
      <c r="I94" s="19">
        <v>99840</v>
      </c>
      <c r="J94" s="5"/>
      <c r="K94" s="5">
        <f t="shared" si="80"/>
        <v>920697</v>
      </c>
      <c r="L94" s="5">
        <v>29509</v>
      </c>
      <c r="M94" s="5">
        <v>29509</v>
      </c>
      <c r="N94" s="5"/>
      <c r="O94" s="5"/>
      <c r="P94" s="5">
        <v>0</v>
      </c>
      <c r="Q94" s="5"/>
      <c r="R94" s="5"/>
      <c r="S94" s="5"/>
      <c r="T94" s="5">
        <f t="shared" si="46"/>
        <v>59018</v>
      </c>
      <c r="U94" s="7">
        <f t="shared" si="83"/>
        <v>861679</v>
      </c>
      <c r="V94" s="8"/>
      <c r="W94" s="9"/>
      <c r="X94" s="8">
        <f t="shared" si="62"/>
        <v>861679</v>
      </c>
    </row>
    <row r="95" spans="1:24" x14ac:dyDescent="0.25">
      <c r="A95" s="103"/>
      <c r="B95" s="13">
        <v>48</v>
      </c>
      <c r="C95" s="3" t="s">
        <v>118</v>
      </c>
      <c r="D95" s="4"/>
      <c r="E95" s="5">
        <v>5000000</v>
      </c>
      <c r="F95" s="5">
        <v>30</v>
      </c>
      <c r="G95" s="5">
        <f t="shared" si="61"/>
        <v>5000000</v>
      </c>
      <c r="H95" s="5"/>
      <c r="I95" s="5"/>
      <c r="J95" s="5"/>
      <c r="K95" s="5">
        <f t="shared" ref="K95" si="87">SUM(G95:I95)+J95</f>
        <v>5000000</v>
      </c>
      <c r="L95" s="5">
        <f>+G95*4%</f>
        <v>200000</v>
      </c>
      <c r="M95" s="5">
        <f>+G95*5%</f>
        <v>250000</v>
      </c>
      <c r="N95" s="5"/>
      <c r="O95" s="5"/>
      <c r="P95" s="5">
        <v>102000</v>
      </c>
      <c r="Q95" s="5"/>
      <c r="R95" s="5"/>
      <c r="S95" s="5"/>
      <c r="T95" s="5">
        <f t="shared" si="46"/>
        <v>552000</v>
      </c>
      <c r="U95" s="7">
        <f t="shared" si="83"/>
        <v>4448000</v>
      </c>
      <c r="V95" s="8"/>
      <c r="W95" s="9"/>
      <c r="X95" s="8">
        <f t="shared" si="62"/>
        <v>4448000</v>
      </c>
    </row>
    <row r="96" spans="1:24" x14ac:dyDescent="0.25">
      <c r="A96" s="103"/>
      <c r="B96" s="13">
        <v>49</v>
      </c>
      <c r="C96" s="3" t="s">
        <v>158</v>
      </c>
      <c r="D96" s="4"/>
      <c r="E96" s="5">
        <v>1500000</v>
      </c>
      <c r="F96" s="5">
        <v>30</v>
      </c>
      <c r="G96" s="5">
        <f t="shared" si="61"/>
        <v>1500000</v>
      </c>
      <c r="H96" s="5"/>
      <c r="I96" s="5"/>
      <c r="J96" s="5">
        <v>162500</v>
      </c>
      <c r="K96" s="5">
        <f t="shared" ref="K96" si="88">SUM(G96:I96)+J96</f>
        <v>1662500</v>
      </c>
      <c r="L96" s="5">
        <f>+G96*4%</f>
        <v>60000</v>
      </c>
      <c r="M96" s="5">
        <f>+G96*4%</f>
        <v>60000</v>
      </c>
      <c r="N96" s="5"/>
      <c r="O96" s="5"/>
      <c r="P96" s="5"/>
      <c r="Q96" s="5"/>
      <c r="R96" s="5"/>
      <c r="S96" s="5"/>
      <c r="T96" s="5">
        <f t="shared" ref="T96:T97" si="89">SUM(L96:S96)</f>
        <v>120000</v>
      </c>
      <c r="U96" s="7">
        <f t="shared" si="83"/>
        <v>1542500</v>
      </c>
      <c r="V96" s="8"/>
      <c r="W96" s="9"/>
      <c r="X96" s="8"/>
    </row>
    <row r="97" spans="1:24" x14ac:dyDescent="0.25">
      <c r="A97" s="103"/>
      <c r="B97" s="13">
        <v>50</v>
      </c>
      <c r="C97" s="3" t="s">
        <v>119</v>
      </c>
      <c r="D97" s="4" t="s">
        <v>27</v>
      </c>
      <c r="E97" s="5">
        <v>1400000</v>
      </c>
      <c r="F97" s="5">
        <v>30</v>
      </c>
      <c r="G97" s="5">
        <f t="shared" si="61"/>
        <v>1400000</v>
      </c>
      <c r="H97" s="5">
        <f>+(83140/30)*F97</f>
        <v>83140</v>
      </c>
      <c r="I97" s="5"/>
      <c r="J97" s="5">
        <v>0</v>
      </c>
      <c r="K97" s="5">
        <f t="shared" ref="K97" si="90">SUM(G97:I97)+J97</f>
        <v>1483140</v>
      </c>
      <c r="L97" s="5">
        <f>+E97*4%</f>
        <v>56000</v>
      </c>
      <c r="M97" s="5">
        <f>+E97*4%</f>
        <v>56000</v>
      </c>
      <c r="N97" s="5"/>
      <c r="O97" s="5"/>
      <c r="P97" s="5">
        <v>0</v>
      </c>
      <c r="Q97" s="5"/>
      <c r="R97" s="5"/>
      <c r="S97" s="5"/>
      <c r="T97" s="5">
        <f t="shared" si="89"/>
        <v>112000</v>
      </c>
      <c r="U97" s="7">
        <f t="shared" si="83"/>
        <v>1371140</v>
      </c>
      <c r="V97" s="8"/>
      <c r="W97" s="9"/>
      <c r="X97" s="8">
        <f t="shared" si="62"/>
        <v>1371140</v>
      </c>
    </row>
    <row r="98" spans="1:24" x14ac:dyDescent="0.25">
      <c r="A98" s="103"/>
      <c r="B98" s="13">
        <v>51</v>
      </c>
      <c r="C98" s="11" t="s">
        <v>120</v>
      </c>
      <c r="D98" s="6" t="s">
        <v>27</v>
      </c>
      <c r="E98" s="5">
        <v>15400000</v>
      </c>
      <c r="F98" s="5">
        <v>30</v>
      </c>
      <c r="G98" s="5">
        <f t="shared" si="61"/>
        <v>15400000</v>
      </c>
      <c r="H98" s="5"/>
      <c r="I98" s="5">
        <v>600000</v>
      </c>
      <c r="J98" s="5"/>
      <c r="K98" s="5">
        <f t="shared" si="80"/>
        <v>16000000</v>
      </c>
      <c r="L98" s="5">
        <v>616000</v>
      </c>
      <c r="M98" s="5">
        <f>616000+308000</f>
        <v>924000</v>
      </c>
      <c r="N98" s="5">
        <v>102400</v>
      </c>
      <c r="O98" s="5"/>
      <c r="P98" s="5">
        <v>916000</v>
      </c>
      <c r="Q98" s="5">
        <v>5000000</v>
      </c>
      <c r="R98" s="5">
        <v>180180</v>
      </c>
      <c r="S98" s="5">
        <v>2314715</v>
      </c>
      <c r="T98" s="5">
        <f t="shared" si="46"/>
        <v>10053295</v>
      </c>
      <c r="U98" s="7">
        <f>+K98-T98</f>
        <v>5946705</v>
      </c>
      <c r="V98" s="8"/>
      <c r="W98" s="9"/>
      <c r="X98" s="8">
        <f t="shared" si="62"/>
        <v>5946705</v>
      </c>
    </row>
    <row r="99" spans="1:24" x14ac:dyDescent="0.25">
      <c r="A99" s="103"/>
      <c r="B99" s="13">
        <v>52</v>
      </c>
      <c r="C99" s="11" t="s">
        <v>121</v>
      </c>
      <c r="D99" s="6" t="s">
        <v>27</v>
      </c>
      <c r="E99" s="5">
        <v>4500000</v>
      </c>
      <c r="F99" s="5">
        <v>30</v>
      </c>
      <c r="G99" s="5">
        <f t="shared" si="61"/>
        <v>4500000</v>
      </c>
      <c r="H99" s="5"/>
      <c r="I99" s="5">
        <v>0</v>
      </c>
      <c r="J99" s="5"/>
      <c r="K99" s="5">
        <f t="shared" si="80"/>
        <v>4500000</v>
      </c>
      <c r="L99" s="5">
        <f t="shared" ref="L99:L100" si="91">+G99*4%</f>
        <v>180000</v>
      </c>
      <c r="M99" s="5">
        <f>+G99*5%</f>
        <v>225000</v>
      </c>
      <c r="N99" s="5"/>
      <c r="O99" s="5"/>
      <c r="P99" s="5">
        <v>90000</v>
      </c>
      <c r="Q99" s="5"/>
      <c r="R99" s="5"/>
      <c r="S99" s="5"/>
      <c r="T99" s="5">
        <f t="shared" si="46"/>
        <v>495000</v>
      </c>
      <c r="U99" s="7">
        <f>+K99-T99</f>
        <v>4005000</v>
      </c>
      <c r="V99" s="8"/>
      <c r="W99" s="9"/>
      <c r="X99" s="8">
        <f t="shared" si="62"/>
        <v>4005000</v>
      </c>
    </row>
    <row r="100" spans="1:24" ht="24" x14ac:dyDescent="0.25">
      <c r="A100" s="103"/>
      <c r="B100" s="13">
        <v>53</v>
      </c>
      <c r="C100" s="11" t="s">
        <v>159</v>
      </c>
      <c r="D100" s="6"/>
      <c r="E100" s="5">
        <v>1600000</v>
      </c>
      <c r="F100" s="5">
        <v>30</v>
      </c>
      <c r="G100" s="5">
        <f t="shared" si="61"/>
        <v>1600000</v>
      </c>
      <c r="H100" s="5"/>
      <c r="I100" s="5"/>
      <c r="J100" s="5">
        <v>195556</v>
      </c>
      <c r="K100" s="5">
        <f t="shared" ref="K100" si="92">SUM(G100:I100)+J100</f>
        <v>1795556</v>
      </c>
      <c r="L100" s="5">
        <f t="shared" si="91"/>
        <v>64000</v>
      </c>
      <c r="M100" s="5">
        <f>+G100*4%</f>
        <v>64000</v>
      </c>
      <c r="N100" s="5"/>
      <c r="O100" s="5"/>
      <c r="P100" s="5"/>
      <c r="Q100" s="5"/>
      <c r="R100" s="5"/>
      <c r="S100" s="5"/>
      <c r="T100" s="5">
        <f t="shared" ref="T100" si="93">SUM(L100:S100)</f>
        <v>128000</v>
      </c>
      <c r="U100" s="7">
        <f>+K100-T100</f>
        <v>1667556</v>
      </c>
      <c r="V100" s="8"/>
      <c r="W100" s="9"/>
      <c r="X100" s="8"/>
    </row>
    <row r="101" spans="1:24" x14ac:dyDescent="0.25">
      <c r="A101" s="103"/>
      <c r="B101" s="13">
        <v>54</v>
      </c>
      <c r="C101" s="11" t="s">
        <v>122</v>
      </c>
      <c r="D101" s="6" t="s">
        <v>27</v>
      </c>
      <c r="E101" s="5">
        <v>2000000</v>
      </c>
      <c r="F101" s="5">
        <v>30</v>
      </c>
      <c r="G101" s="5">
        <f t="shared" si="61"/>
        <v>2000000.0000000002</v>
      </c>
      <c r="H101" s="5"/>
      <c r="I101" s="5"/>
      <c r="J101" s="5">
        <f>+E101-G101</f>
        <v>0</v>
      </c>
      <c r="K101" s="5">
        <f t="shared" si="80"/>
        <v>2000000.0000000002</v>
      </c>
      <c r="L101" s="5">
        <f>+G101*4%</f>
        <v>80000.000000000015</v>
      </c>
      <c r="M101" s="5">
        <f>+G101*4%</f>
        <v>80000.000000000015</v>
      </c>
      <c r="N101" s="5"/>
      <c r="O101" s="5"/>
      <c r="P101" s="5">
        <v>0</v>
      </c>
      <c r="Q101" s="5"/>
      <c r="R101" s="5"/>
      <c r="S101" s="5"/>
      <c r="T101" s="5">
        <f t="shared" si="46"/>
        <v>160000.00000000003</v>
      </c>
      <c r="U101" s="7">
        <f>+K101-T101</f>
        <v>1840000.0000000002</v>
      </c>
      <c r="V101" s="8"/>
      <c r="W101" s="9"/>
      <c r="X101" s="8">
        <f t="shared" si="62"/>
        <v>1840000.0000000002</v>
      </c>
    </row>
    <row r="102" spans="1:24" x14ac:dyDescent="0.25">
      <c r="A102" s="103"/>
      <c r="B102" s="13">
        <v>55</v>
      </c>
      <c r="C102" s="3" t="s">
        <v>123</v>
      </c>
      <c r="D102" s="4" t="s">
        <v>27</v>
      </c>
      <c r="E102" s="5">
        <v>3000000</v>
      </c>
      <c r="F102" s="5">
        <v>30</v>
      </c>
      <c r="G102" s="5">
        <f t="shared" si="61"/>
        <v>3000000</v>
      </c>
      <c r="H102" s="5"/>
      <c r="I102" s="5">
        <v>270000</v>
      </c>
      <c r="J102" s="5">
        <f>+E102-G102</f>
        <v>0</v>
      </c>
      <c r="K102" s="5">
        <f t="shared" si="80"/>
        <v>3270000</v>
      </c>
      <c r="L102" s="5">
        <f>+E102*4%</f>
        <v>120000</v>
      </c>
      <c r="M102" s="5">
        <f>+G102*5%</f>
        <v>150000</v>
      </c>
      <c r="N102" s="5"/>
      <c r="O102" s="5"/>
      <c r="P102" s="5">
        <v>0</v>
      </c>
      <c r="Q102" s="5"/>
      <c r="R102" s="5"/>
      <c r="S102" s="5"/>
      <c r="T102" s="5">
        <f t="shared" si="46"/>
        <v>270000</v>
      </c>
      <c r="U102" s="7">
        <f>K102-T102</f>
        <v>3000000</v>
      </c>
      <c r="V102" s="8"/>
      <c r="W102" s="9"/>
      <c r="X102" s="8">
        <f t="shared" si="62"/>
        <v>3000000</v>
      </c>
    </row>
    <row r="103" spans="1:24" x14ac:dyDescent="0.25">
      <c r="A103" s="103"/>
      <c r="B103" s="13">
        <v>56</v>
      </c>
      <c r="C103" s="3" t="s">
        <v>124</v>
      </c>
      <c r="D103" s="4" t="s">
        <v>27</v>
      </c>
      <c r="E103" s="5">
        <v>1600000</v>
      </c>
      <c r="F103" s="5">
        <v>30</v>
      </c>
      <c r="G103" s="5">
        <f t="shared" si="61"/>
        <v>1600000</v>
      </c>
      <c r="H103" s="5"/>
      <c r="I103" s="5">
        <v>200000</v>
      </c>
      <c r="J103" s="5"/>
      <c r="K103" s="5">
        <f t="shared" si="80"/>
        <v>1800000</v>
      </c>
      <c r="L103" s="5">
        <f>+G103*4%</f>
        <v>64000</v>
      </c>
      <c r="M103" s="5">
        <f>+G103*4%</f>
        <v>64000</v>
      </c>
      <c r="N103" s="5"/>
      <c r="O103" s="5"/>
      <c r="P103" s="5"/>
      <c r="Q103" s="5"/>
      <c r="R103" s="5"/>
      <c r="S103" s="5"/>
      <c r="T103" s="5">
        <f>SUM(L103:S103)</f>
        <v>128000</v>
      </c>
      <c r="U103" s="7">
        <f>K103-T103</f>
        <v>1672000</v>
      </c>
      <c r="V103" s="8"/>
      <c r="W103" s="9"/>
      <c r="X103" s="8">
        <f t="shared" si="62"/>
        <v>1672000</v>
      </c>
    </row>
    <row r="104" spans="1:24" x14ac:dyDescent="0.25">
      <c r="A104" s="103"/>
      <c r="B104" s="13">
        <v>57</v>
      </c>
      <c r="C104" s="3" t="s">
        <v>126</v>
      </c>
      <c r="D104" s="4"/>
      <c r="E104" s="5">
        <v>4500000</v>
      </c>
      <c r="F104" s="5">
        <v>30</v>
      </c>
      <c r="G104" s="5">
        <f t="shared" si="61"/>
        <v>4500000</v>
      </c>
      <c r="H104" s="5"/>
      <c r="I104" s="5"/>
      <c r="J104" s="5"/>
      <c r="K104" s="5">
        <f t="shared" si="80"/>
        <v>4500000</v>
      </c>
      <c r="L104" s="5">
        <f>+G104*4%</f>
        <v>180000</v>
      </c>
      <c r="M104" s="5">
        <f>+G104*5%</f>
        <v>225000</v>
      </c>
      <c r="N104" s="5"/>
      <c r="O104" s="5"/>
      <c r="P104" s="5">
        <v>34000</v>
      </c>
      <c r="Q104" s="5"/>
      <c r="R104" s="5"/>
      <c r="S104" s="5"/>
      <c r="T104" s="5">
        <f>SUM(L104:S104)</f>
        <v>439000</v>
      </c>
      <c r="U104" s="7">
        <f>K104-T104</f>
        <v>4061000</v>
      </c>
      <c r="V104" s="8"/>
      <c r="W104" s="9"/>
      <c r="X104" s="8">
        <f t="shared" si="62"/>
        <v>4061000</v>
      </c>
    </row>
    <row r="105" spans="1:24" ht="24" x14ac:dyDescent="0.25">
      <c r="A105" s="103"/>
      <c r="B105" s="13">
        <v>58</v>
      </c>
      <c r="C105" s="11" t="s">
        <v>128</v>
      </c>
      <c r="D105" s="6" t="s">
        <v>27</v>
      </c>
      <c r="E105" s="5">
        <v>3000000</v>
      </c>
      <c r="F105" s="5">
        <v>30</v>
      </c>
      <c r="G105" s="5">
        <f t="shared" si="61"/>
        <v>3000000</v>
      </c>
      <c r="H105" s="5"/>
      <c r="I105" s="5"/>
      <c r="J105" s="5">
        <v>0</v>
      </c>
      <c r="K105" s="5">
        <f t="shared" si="80"/>
        <v>3000000</v>
      </c>
      <c r="L105" s="5">
        <f>+E105*4%</f>
        <v>120000</v>
      </c>
      <c r="M105" s="5">
        <f>+E105*5%</f>
        <v>150000</v>
      </c>
      <c r="N105" s="5"/>
      <c r="O105" s="5"/>
      <c r="P105" s="5"/>
      <c r="Q105" s="5"/>
      <c r="R105" s="5"/>
      <c r="S105" s="5"/>
      <c r="T105" s="5">
        <f t="shared" si="46"/>
        <v>270000</v>
      </c>
      <c r="U105" s="7">
        <f>+K105-T105</f>
        <v>2730000</v>
      </c>
      <c r="V105" s="8"/>
      <c r="W105" s="9"/>
      <c r="X105" s="8">
        <f t="shared" si="62"/>
        <v>2730000</v>
      </c>
    </row>
    <row r="106" spans="1:24" x14ac:dyDescent="0.25">
      <c r="A106" s="103"/>
      <c r="B106" s="13">
        <v>59</v>
      </c>
      <c r="C106" s="11" t="s">
        <v>129</v>
      </c>
      <c r="D106" s="6" t="s">
        <v>27</v>
      </c>
      <c r="E106" s="5">
        <v>3700000</v>
      </c>
      <c r="F106" s="5">
        <v>30</v>
      </c>
      <c r="G106" s="5">
        <f t="shared" si="61"/>
        <v>3700000</v>
      </c>
      <c r="H106" s="5"/>
      <c r="I106" s="5">
        <v>650000</v>
      </c>
      <c r="J106" s="5"/>
      <c r="K106" s="5">
        <f t="shared" si="80"/>
        <v>4350000</v>
      </c>
      <c r="L106" s="5">
        <f t="shared" ref="L106" si="94">+G106*4%</f>
        <v>148000</v>
      </c>
      <c r="M106" s="5">
        <f>+G106*5%</f>
        <v>185000</v>
      </c>
      <c r="N106" s="5"/>
      <c r="O106" s="5"/>
      <c r="P106" s="5"/>
      <c r="Q106" s="5"/>
      <c r="R106" s="5"/>
      <c r="S106" s="5"/>
      <c r="T106" s="5">
        <f t="shared" ref="T106" si="95">SUM(L106:S106)</f>
        <v>333000</v>
      </c>
      <c r="U106" s="7">
        <f>+K106-T106</f>
        <v>4017000</v>
      </c>
      <c r="V106" s="8"/>
      <c r="W106" s="9"/>
      <c r="X106" s="8">
        <f t="shared" si="62"/>
        <v>4017000</v>
      </c>
    </row>
    <row r="107" spans="1:24" x14ac:dyDescent="0.25">
      <c r="A107" s="103"/>
      <c r="B107" s="13">
        <v>60</v>
      </c>
      <c r="C107" s="11" t="s">
        <v>130</v>
      </c>
      <c r="D107" s="6" t="s">
        <v>35</v>
      </c>
      <c r="E107" s="5">
        <v>1800000</v>
      </c>
      <c r="F107" s="5">
        <v>30</v>
      </c>
      <c r="G107" s="5">
        <f t="shared" si="61"/>
        <v>1800000</v>
      </c>
      <c r="H107" s="5"/>
      <c r="I107" s="5"/>
      <c r="J107" s="5">
        <v>0</v>
      </c>
      <c r="K107" s="5">
        <f t="shared" si="80"/>
        <v>1800000</v>
      </c>
      <c r="L107" s="5">
        <f>+E107*4%</f>
        <v>72000</v>
      </c>
      <c r="M107" s="5">
        <f>+E107*4%</f>
        <v>72000</v>
      </c>
      <c r="N107" s="5"/>
      <c r="O107" s="5"/>
      <c r="P107" s="17"/>
      <c r="Q107" s="5"/>
      <c r="R107" s="5"/>
      <c r="S107" s="5">
        <v>136805</v>
      </c>
      <c r="T107" s="5">
        <f t="shared" si="46"/>
        <v>280805</v>
      </c>
      <c r="U107" s="7">
        <f>+K107-T107</f>
        <v>1519195</v>
      </c>
      <c r="V107" s="8"/>
      <c r="W107" s="9"/>
      <c r="X107" s="8">
        <f t="shared" si="62"/>
        <v>1519195</v>
      </c>
    </row>
    <row r="108" spans="1:24" x14ac:dyDescent="0.25">
      <c r="A108" s="103"/>
      <c r="B108" s="13">
        <v>61</v>
      </c>
      <c r="C108" s="11" t="s">
        <v>173</v>
      </c>
      <c r="D108" s="6"/>
      <c r="E108" s="5">
        <v>1500000</v>
      </c>
      <c r="F108" s="5">
        <v>19</v>
      </c>
      <c r="G108" s="5">
        <f t="shared" si="61"/>
        <v>950000</v>
      </c>
      <c r="H108" s="5"/>
      <c r="I108" s="5"/>
      <c r="J108" s="5">
        <v>79167</v>
      </c>
      <c r="K108" s="5">
        <f t="shared" si="80"/>
        <v>1029167</v>
      </c>
      <c r="L108" s="5">
        <f>+G108*4%</f>
        <v>38000</v>
      </c>
      <c r="M108" s="5">
        <f>+G108*4%</f>
        <v>38000</v>
      </c>
      <c r="N108" s="5"/>
      <c r="O108" s="5"/>
      <c r="P108" s="17"/>
      <c r="Q108" s="5"/>
      <c r="R108" s="5"/>
      <c r="S108" s="5"/>
      <c r="T108" s="5">
        <f t="shared" ref="T108" si="96">SUM(L108:S108)</f>
        <v>76000</v>
      </c>
      <c r="U108" s="7">
        <f>+K108-T108</f>
        <v>953167</v>
      </c>
      <c r="V108" s="8"/>
      <c r="W108" s="9"/>
      <c r="X108" s="8">
        <f t="shared" si="62"/>
        <v>953167</v>
      </c>
    </row>
    <row r="109" spans="1:24" x14ac:dyDescent="0.25">
      <c r="A109" s="103"/>
      <c r="B109" s="13">
        <v>62</v>
      </c>
      <c r="C109" s="3" t="s">
        <v>131</v>
      </c>
      <c r="D109" s="4" t="s">
        <v>27</v>
      </c>
      <c r="E109" s="5">
        <v>1600000</v>
      </c>
      <c r="F109" s="5">
        <v>30</v>
      </c>
      <c r="G109" s="5">
        <f t="shared" si="61"/>
        <v>1600000</v>
      </c>
      <c r="H109" s="5"/>
      <c r="I109" s="5"/>
      <c r="J109" s="5">
        <v>0</v>
      </c>
      <c r="K109" s="5">
        <f t="shared" si="80"/>
        <v>1600000</v>
      </c>
      <c r="L109" s="5">
        <f>+K109*4%</f>
        <v>64000</v>
      </c>
      <c r="M109" s="5">
        <v>64000</v>
      </c>
      <c r="N109" s="5"/>
      <c r="O109" s="5"/>
      <c r="P109" s="5">
        <v>0</v>
      </c>
      <c r="Q109" s="5"/>
      <c r="R109" s="5"/>
      <c r="S109" s="5">
        <v>249127</v>
      </c>
      <c r="T109" s="5">
        <f t="shared" si="46"/>
        <v>377127</v>
      </c>
      <c r="U109" s="7">
        <f>K109-T109</f>
        <v>1222873</v>
      </c>
      <c r="V109" s="8"/>
      <c r="W109" s="9"/>
      <c r="X109" s="8">
        <f t="shared" si="62"/>
        <v>1222873</v>
      </c>
    </row>
    <row r="110" spans="1:24" x14ac:dyDescent="0.25">
      <c r="A110" s="103"/>
      <c r="B110" s="13">
        <v>63</v>
      </c>
      <c r="C110" s="11" t="s">
        <v>132</v>
      </c>
      <c r="D110" s="6" t="s">
        <v>27</v>
      </c>
      <c r="E110" s="5">
        <v>737717</v>
      </c>
      <c r="F110" s="5">
        <v>30</v>
      </c>
      <c r="G110" s="5">
        <f t="shared" si="61"/>
        <v>737717</v>
      </c>
      <c r="H110" s="5">
        <f t="shared" ref="H110" si="97">+(83140/30)*F110</f>
        <v>83140</v>
      </c>
      <c r="I110" s="5"/>
      <c r="J110" s="5"/>
      <c r="K110" s="5">
        <f t="shared" si="80"/>
        <v>820857</v>
      </c>
      <c r="L110" s="5">
        <v>29509</v>
      </c>
      <c r="M110" s="5">
        <v>29509</v>
      </c>
      <c r="N110" s="5"/>
      <c r="O110" s="5"/>
      <c r="P110" s="5">
        <v>0</v>
      </c>
      <c r="Q110" s="5"/>
      <c r="R110" s="5">
        <v>502867</v>
      </c>
      <c r="S110" s="5"/>
      <c r="T110" s="5">
        <f t="shared" si="46"/>
        <v>561885</v>
      </c>
      <c r="U110" s="7">
        <f t="shared" ref="U110:U115" si="98">+K110-T110</f>
        <v>258972</v>
      </c>
      <c r="V110" s="8"/>
      <c r="W110" s="9"/>
      <c r="X110" s="8">
        <f t="shared" si="62"/>
        <v>258972</v>
      </c>
    </row>
    <row r="111" spans="1:24" ht="24" x14ac:dyDescent="0.25">
      <c r="A111" s="103"/>
      <c r="B111" s="13">
        <v>64</v>
      </c>
      <c r="C111" s="11" t="s">
        <v>134</v>
      </c>
      <c r="D111" s="6" t="s">
        <v>27</v>
      </c>
      <c r="E111" s="5">
        <v>1800000</v>
      </c>
      <c r="F111" s="5">
        <v>30</v>
      </c>
      <c r="G111" s="5">
        <f t="shared" si="61"/>
        <v>1800000</v>
      </c>
      <c r="H111" s="5"/>
      <c r="I111" s="5"/>
      <c r="J111" s="21"/>
      <c r="K111" s="5">
        <f t="shared" si="80"/>
        <v>1800000</v>
      </c>
      <c r="L111" s="5">
        <f t="shared" ref="L111" si="99">+G111*4%</f>
        <v>72000</v>
      </c>
      <c r="M111" s="5">
        <f t="shared" ref="M111" si="100">+G111*4%</f>
        <v>72000</v>
      </c>
      <c r="N111" s="5"/>
      <c r="O111" s="5"/>
      <c r="P111" s="5">
        <v>0</v>
      </c>
      <c r="Q111" s="5"/>
      <c r="R111" s="5"/>
      <c r="S111" s="5"/>
      <c r="T111" s="5">
        <f t="shared" ref="T111" si="101">SUM(L111:S111)</f>
        <v>144000</v>
      </c>
      <c r="U111" s="7">
        <f t="shared" si="98"/>
        <v>1656000</v>
      </c>
      <c r="V111" s="8"/>
      <c r="W111" s="9"/>
      <c r="X111" s="8">
        <f t="shared" si="62"/>
        <v>1656000</v>
      </c>
    </row>
    <row r="112" spans="1:24" ht="18.75" customHeight="1" x14ac:dyDescent="0.25">
      <c r="A112" s="103"/>
      <c r="B112" s="13">
        <v>65</v>
      </c>
      <c r="C112" s="11" t="s">
        <v>135</v>
      </c>
      <c r="D112" s="6" t="s">
        <v>27</v>
      </c>
      <c r="E112" s="5">
        <v>2000000</v>
      </c>
      <c r="F112" s="5">
        <v>30</v>
      </c>
      <c r="G112" s="5">
        <f t="shared" si="61"/>
        <v>2000000.0000000002</v>
      </c>
      <c r="H112" s="5"/>
      <c r="I112" s="5"/>
      <c r="J112" s="5">
        <f>+E112-G112</f>
        <v>0</v>
      </c>
      <c r="K112" s="5">
        <f t="shared" si="80"/>
        <v>2000000.0000000002</v>
      </c>
      <c r="L112" s="5">
        <v>80000</v>
      </c>
      <c r="M112" s="5">
        <v>80000</v>
      </c>
      <c r="N112" s="5"/>
      <c r="O112" s="5"/>
      <c r="P112" s="5"/>
      <c r="Q112" s="5"/>
      <c r="R112" s="5"/>
      <c r="S112" s="5"/>
      <c r="T112" s="5">
        <f t="shared" si="46"/>
        <v>160000</v>
      </c>
      <c r="U112" s="7">
        <f t="shared" si="98"/>
        <v>1840000.0000000002</v>
      </c>
      <c r="V112" s="8"/>
      <c r="W112" s="9"/>
      <c r="X112" s="8">
        <f t="shared" si="62"/>
        <v>1840000.0000000002</v>
      </c>
    </row>
    <row r="113" spans="1:28" ht="18.75" customHeight="1" x14ac:dyDescent="0.25">
      <c r="A113" s="103"/>
      <c r="B113" s="13">
        <v>66</v>
      </c>
      <c r="C113" s="11" t="s">
        <v>137</v>
      </c>
      <c r="D113" s="6"/>
      <c r="E113" s="5">
        <v>1070000</v>
      </c>
      <c r="F113" s="5">
        <v>30</v>
      </c>
      <c r="G113" s="5">
        <f t="shared" si="61"/>
        <v>1070000</v>
      </c>
      <c r="H113" s="5">
        <f t="shared" ref="H113" si="102">+(83140/30)*F113</f>
        <v>83140</v>
      </c>
      <c r="I113" s="5"/>
      <c r="J113" s="22"/>
      <c r="K113" s="5">
        <f t="shared" si="80"/>
        <v>1153140</v>
      </c>
      <c r="L113" s="5">
        <f t="shared" ref="L113" si="103">+G113*4%</f>
        <v>42800</v>
      </c>
      <c r="M113" s="5">
        <f t="shared" ref="M113" si="104">+G113*4%</f>
        <v>42800</v>
      </c>
      <c r="N113" s="5"/>
      <c r="O113" s="5"/>
      <c r="P113" s="5">
        <v>0</v>
      </c>
      <c r="Q113" s="5"/>
      <c r="R113" s="5"/>
      <c r="S113" s="5"/>
      <c r="T113" s="5">
        <f t="shared" ref="T113:T114" si="105">SUM(L113:S113)</f>
        <v>85600</v>
      </c>
      <c r="U113" s="7">
        <f t="shared" si="98"/>
        <v>1067540</v>
      </c>
      <c r="V113" s="8"/>
      <c r="W113" s="9"/>
      <c r="X113" s="8">
        <f t="shared" si="62"/>
        <v>1067540</v>
      </c>
    </row>
    <row r="114" spans="1:28" ht="18.75" customHeight="1" x14ac:dyDescent="0.25">
      <c r="A114" s="103"/>
      <c r="B114" s="13">
        <v>67</v>
      </c>
      <c r="C114" s="11" t="s">
        <v>160</v>
      </c>
      <c r="D114" s="6"/>
      <c r="E114" s="5">
        <v>368859</v>
      </c>
      <c r="F114" s="5">
        <v>30</v>
      </c>
      <c r="G114" s="5">
        <f t="shared" si="61"/>
        <v>368859</v>
      </c>
      <c r="H114" s="5"/>
      <c r="I114" s="5"/>
      <c r="J114" s="22"/>
      <c r="K114" s="5">
        <f t="shared" si="80"/>
        <v>368859</v>
      </c>
      <c r="L114" s="5"/>
      <c r="M114" s="5"/>
      <c r="N114" s="5"/>
      <c r="O114" s="5"/>
      <c r="P114" s="5"/>
      <c r="Q114" s="5"/>
      <c r="R114" s="5"/>
      <c r="S114" s="5"/>
      <c r="T114" s="5">
        <f t="shared" si="105"/>
        <v>0</v>
      </c>
      <c r="U114" s="7">
        <f t="shared" si="98"/>
        <v>368859</v>
      </c>
      <c r="V114" s="8"/>
      <c r="W114" s="9"/>
      <c r="X114" s="8"/>
    </row>
    <row r="115" spans="1:28" x14ac:dyDescent="0.25">
      <c r="A115" s="103"/>
      <c r="B115" s="13">
        <v>68</v>
      </c>
      <c r="C115" s="11" t="s">
        <v>138</v>
      </c>
      <c r="D115" s="6" t="s">
        <v>27</v>
      </c>
      <c r="E115" s="5">
        <v>4400000</v>
      </c>
      <c r="F115" s="5">
        <v>30</v>
      </c>
      <c r="G115" s="5">
        <f t="shared" si="61"/>
        <v>4400000</v>
      </c>
      <c r="H115" s="5"/>
      <c r="I115" s="5"/>
      <c r="J115" s="5"/>
      <c r="K115" s="5">
        <f t="shared" si="80"/>
        <v>4400000</v>
      </c>
      <c r="L115" s="5">
        <f>+G115*4%</f>
        <v>176000</v>
      </c>
      <c r="M115" s="5">
        <f>+G115*5%</f>
        <v>220000</v>
      </c>
      <c r="N115" s="5"/>
      <c r="O115" s="5"/>
      <c r="P115" s="5">
        <v>44000</v>
      </c>
      <c r="Q115" s="5"/>
      <c r="R115" s="5"/>
      <c r="S115" s="5">
        <v>286840</v>
      </c>
      <c r="T115" s="5">
        <f t="shared" si="46"/>
        <v>726840</v>
      </c>
      <c r="U115" s="7">
        <f t="shared" si="98"/>
        <v>3673160</v>
      </c>
      <c r="V115" s="8"/>
      <c r="W115" s="9"/>
      <c r="X115" s="8">
        <f t="shared" ref="X115" si="106">U115+V115-W115</f>
        <v>3673160</v>
      </c>
    </row>
    <row r="116" spans="1:28" x14ac:dyDescent="0.25">
      <c r="A116" s="13"/>
      <c r="B116" s="13"/>
      <c r="C116" s="23" t="s">
        <v>140</v>
      </c>
      <c r="D116" s="13"/>
      <c r="E116" s="18">
        <f>SUM(E5:E115)</f>
        <v>378435695</v>
      </c>
      <c r="F116" s="18" t="s">
        <v>1</v>
      </c>
      <c r="G116" s="8">
        <f t="shared" ref="G116:U116" si="107">SUM(G5:G115)</f>
        <v>363284985.19999999</v>
      </c>
      <c r="H116" s="8">
        <f t="shared" si="107"/>
        <v>1851250.6666666665</v>
      </c>
      <c r="I116" s="8">
        <f t="shared" si="107"/>
        <v>13043827</v>
      </c>
      <c r="J116" s="8">
        <f t="shared" si="107"/>
        <v>16059146</v>
      </c>
      <c r="K116" s="8">
        <f t="shared" si="107"/>
        <v>394239208.86666673</v>
      </c>
      <c r="L116" s="8">
        <f t="shared" si="107"/>
        <v>14939242.821333332</v>
      </c>
      <c r="M116" s="8">
        <f t="shared" si="107"/>
        <v>18257251.517999999</v>
      </c>
      <c r="N116" s="8">
        <f t="shared" si="107"/>
        <v>102400</v>
      </c>
      <c r="O116" s="8">
        <f t="shared" si="107"/>
        <v>16933</v>
      </c>
      <c r="P116" s="8">
        <f t="shared" si="107"/>
        <v>4592573</v>
      </c>
      <c r="Q116" s="8">
        <f t="shared" si="107"/>
        <v>13800000</v>
      </c>
      <c r="R116" s="8">
        <f t="shared" si="107"/>
        <v>2012816</v>
      </c>
      <c r="S116" s="8">
        <f t="shared" si="107"/>
        <v>10603542</v>
      </c>
      <c r="T116" s="8">
        <f t="shared" si="107"/>
        <v>64324758.339333333</v>
      </c>
      <c r="U116" s="8">
        <f t="shared" si="107"/>
        <v>329914450.52733338</v>
      </c>
      <c r="V116" s="8">
        <f>SUM(V6:V110)</f>
        <v>0</v>
      </c>
      <c r="W116" s="9">
        <f>SUM(W6:W110)</f>
        <v>0</v>
      </c>
      <c r="X116" s="8">
        <f>SUM(X5:X115)</f>
        <v>322899091.52733338</v>
      </c>
    </row>
    <row r="117" spans="1:28" x14ac:dyDescent="0.25">
      <c r="E117" s="26"/>
      <c r="F117" s="26"/>
      <c r="G117" s="26"/>
      <c r="U117" s="20"/>
      <c r="V117" s="20"/>
      <c r="X117" s="20"/>
    </row>
    <row r="118" spans="1:28" x14ac:dyDescent="0.25">
      <c r="D118" s="25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9"/>
      <c r="V118" s="25"/>
      <c r="W118" s="30"/>
      <c r="X118" s="29"/>
    </row>
    <row r="119" spans="1:28" x14ac:dyDescent="0.25"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5"/>
      <c r="V119" s="25"/>
      <c r="W119" s="30"/>
      <c r="X119" s="29"/>
    </row>
    <row r="120" spans="1:28" x14ac:dyDescent="0.25">
      <c r="C120" s="31"/>
      <c r="D120" s="25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5"/>
      <c r="V120" s="25"/>
      <c r="W120" s="30"/>
      <c r="X120" s="29"/>
    </row>
    <row r="121" spans="1:28" x14ac:dyDescent="0.25">
      <c r="C121" s="31"/>
      <c r="D121" s="25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5"/>
      <c r="V121" s="25"/>
      <c r="W121" s="30"/>
      <c r="X121" s="25"/>
      <c r="Y121" s="25"/>
      <c r="Z121" s="25"/>
      <c r="AA121" s="25"/>
      <c r="AB121" s="25"/>
    </row>
    <row r="122" spans="1:28" x14ac:dyDescent="0.25">
      <c r="B122" s="25"/>
      <c r="C122" s="31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26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25"/>
      <c r="Z122" s="25"/>
      <c r="AA122" s="25"/>
      <c r="AB122" s="25"/>
    </row>
    <row r="123" spans="1:28" x14ac:dyDescent="0.25">
      <c r="B123" s="25"/>
      <c r="C123" s="31"/>
      <c r="D123" s="25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5"/>
      <c r="V123" s="25"/>
      <c r="W123" s="30"/>
      <c r="X123" s="25"/>
      <c r="Y123" s="25"/>
      <c r="Z123" s="25"/>
      <c r="AA123" s="25"/>
      <c r="AB123" s="25"/>
    </row>
    <row r="124" spans="1:28" x14ac:dyDescent="0.25">
      <c r="B124" s="25"/>
      <c r="C124" s="31"/>
      <c r="D124" s="25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5"/>
      <c r="V124" s="25"/>
      <c r="W124" s="30"/>
      <c r="X124" s="25"/>
      <c r="Y124" s="25"/>
      <c r="Z124" s="25"/>
      <c r="AA124" s="25"/>
      <c r="AB124" s="25"/>
    </row>
    <row r="125" spans="1:28" x14ac:dyDescent="0.25">
      <c r="B125" s="25"/>
      <c r="C125" s="31"/>
      <c r="D125" s="25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5"/>
      <c r="V125" s="25"/>
      <c r="W125" s="30"/>
      <c r="X125" s="25"/>
      <c r="Y125" s="25"/>
      <c r="Z125" s="25"/>
      <c r="AA125" s="25"/>
      <c r="AB125" s="25"/>
    </row>
    <row r="126" spans="1:28" x14ac:dyDescent="0.25">
      <c r="B126" s="25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4"/>
      <c r="W126" s="35"/>
      <c r="X126" s="34"/>
      <c r="Y126" s="25"/>
      <c r="Z126" s="25"/>
      <c r="AA126" s="25"/>
      <c r="AB126" s="25"/>
    </row>
    <row r="127" spans="1:28" x14ac:dyDescent="0.25">
      <c r="B127" s="36"/>
      <c r="C127" s="31"/>
      <c r="D127" s="34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4"/>
      <c r="V127" s="34"/>
      <c r="W127" s="35"/>
      <c r="X127" s="34"/>
      <c r="Y127" s="25"/>
      <c r="Z127" s="25"/>
      <c r="AA127" s="25"/>
      <c r="AB127" s="25"/>
    </row>
    <row r="128" spans="1:28" x14ac:dyDescent="0.25">
      <c r="B128" s="25"/>
      <c r="C128" s="31"/>
      <c r="D128" s="25"/>
      <c r="E128" s="26"/>
      <c r="F128" s="26"/>
      <c r="G128" s="38"/>
      <c r="H128" s="26"/>
      <c r="I128" s="26"/>
      <c r="J128" s="26"/>
      <c r="K128" s="26"/>
      <c r="L128" s="26"/>
      <c r="M128" s="26"/>
      <c r="N128" s="39"/>
      <c r="O128" s="39"/>
      <c r="P128" s="39"/>
      <c r="Q128" s="39"/>
      <c r="R128" s="39"/>
      <c r="S128" s="26"/>
      <c r="T128" s="26"/>
      <c r="U128" s="25"/>
      <c r="V128" s="25"/>
      <c r="W128" s="30"/>
      <c r="X128" s="25"/>
      <c r="Y128" s="25"/>
      <c r="Z128" s="25"/>
      <c r="AA128" s="25"/>
      <c r="AB128" s="25"/>
    </row>
    <row r="129" spans="2:28" x14ac:dyDescent="0.25">
      <c r="B129" s="25"/>
      <c r="C129" s="40"/>
      <c r="D129" s="34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4"/>
      <c r="V129" s="34"/>
      <c r="W129" s="35"/>
      <c r="X129" s="34"/>
      <c r="Y129" s="25"/>
      <c r="Z129" s="25"/>
      <c r="AA129" s="25"/>
      <c r="AB129" s="25"/>
    </row>
    <row r="130" spans="2:28" x14ac:dyDescent="0.25">
      <c r="B130" s="34"/>
      <c r="C130" s="40"/>
      <c r="D130" s="34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4"/>
      <c r="V130" s="34"/>
      <c r="W130" s="35"/>
      <c r="X130" s="34"/>
      <c r="Y130" s="25"/>
      <c r="Z130" s="25"/>
      <c r="AA130" s="25"/>
      <c r="AB130" s="25"/>
    </row>
    <row r="131" spans="2:28" x14ac:dyDescent="0.25">
      <c r="B131" s="25"/>
      <c r="C131" s="40"/>
      <c r="D131" s="34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9"/>
      <c r="V131" s="29"/>
      <c r="W131" s="30"/>
      <c r="X131" s="29"/>
      <c r="Y131" s="25"/>
      <c r="Z131" s="25"/>
      <c r="AA131" s="25"/>
      <c r="AB131" s="25"/>
    </row>
    <row r="132" spans="2:28" x14ac:dyDescent="0.25">
      <c r="C132" s="40"/>
      <c r="D132" s="34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9"/>
      <c r="V132" s="29"/>
      <c r="W132" s="30"/>
      <c r="X132" s="29"/>
      <c r="Y132" s="25"/>
      <c r="Z132" s="25"/>
      <c r="AA132" s="25"/>
      <c r="AB132" s="25"/>
    </row>
    <row r="133" spans="2:28" x14ac:dyDescent="0.25">
      <c r="C133" s="40"/>
      <c r="D133" s="34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9"/>
      <c r="V133" s="29"/>
      <c r="W133" s="30"/>
      <c r="X133" s="29"/>
      <c r="Y133" s="25"/>
      <c r="Z133" s="25"/>
      <c r="AA133" s="25"/>
      <c r="AB133" s="25"/>
    </row>
    <row r="134" spans="2:28" x14ac:dyDescent="0.25">
      <c r="C134" s="40"/>
      <c r="D134" s="34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9"/>
      <c r="V134" s="29"/>
      <c r="W134" s="30"/>
      <c r="X134" s="29"/>
      <c r="Y134" s="25"/>
      <c r="Z134" s="25"/>
      <c r="AA134" s="25"/>
      <c r="AB134" s="25"/>
    </row>
    <row r="135" spans="2:28" x14ac:dyDescent="0.25">
      <c r="C135" s="40"/>
      <c r="D135" s="34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9"/>
      <c r="V135" s="29"/>
      <c r="W135" s="30"/>
      <c r="X135" s="29"/>
      <c r="Y135" s="25"/>
      <c r="Z135" s="25"/>
      <c r="AA135" s="25"/>
      <c r="AB135" s="25"/>
    </row>
    <row r="136" spans="2:28" x14ac:dyDescent="0.25">
      <c r="C136" s="40"/>
      <c r="D136" s="34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9"/>
      <c r="V136" s="29"/>
      <c r="W136" s="30"/>
      <c r="X136" s="29"/>
      <c r="Y136" s="25"/>
      <c r="Z136" s="25"/>
      <c r="AA136" s="25"/>
      <c r="AB136" s="25"/>
    </row>
    <row r="137" spans="2:28" x14ac:dyDescent="0.25">
      <c r="C137" s="31"/>
      <c r="D137" s="25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9"/>
      <c r="V137" s="29"/>
      <c r="W137" s="30"/>
      <c r="X137" s="29"/>
      <c r="Y137" s="25"/>
      <c r="Z137" s="25"/>
      <c r="AA137" s="25"/>
      <c r="AB137" s="25"/>
    </row>
    <row r="138" spans="2:28" x14ac:dyDescent="0.25">
      <c r="C138" s="40"/>
      <c r="D138" s="25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9"/>
      <c r="V138" s="29"/>
      <c r="W138" s="30"/>
      <c r="X138" s="29"/>
      <c r="Y138" s="25"/>
      <c r="Z138" s="25"/>
      <c r="AA138" s="25"/>
      <c r="AB138" s="25"/>
    </row>
    <row r="139" spans="2:28" x14ac:dyDescent="0.25">
      <c r="C139" s="40"/>
      <c r="D139" s="25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9"/>
      <c r="V139" s="29"/>
      <c r="W139" s="30"/>
      <c r="X139" s="29"/>
      <c r="Y139" s="25"/>
      <c r="Z139" s="25"/>
      <c r="AA139" s="25"/>
      <c r="AB139" s="25"/>
    </row>
    <row r="140" spans="2:28" x14ac:dyDescent="0.25">
      <c r="C140" s="40"/>
      <c r="D140" s="25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9"/>
      <c r="V140" s="29"/>
      <c r="W140" s="30"/>
      <c r="X140" s="29"/>
      <c r="Y140" s="25"/>
      <c r="Z140" s="25"/>
      <c r="AA140" s="25"/>
      <c r="AB140" s="25"/>
    </row>
    <row r="141" spans="2:28" x14ac:dyDescent="0.25">
      <c r="C141" s="40"/>
      <c r="D141" s="2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9"/>
      <c r="V141" s="29"/>
      <c r="W141" s="30"/>
      <c r="X141" s="29"/>
      <c r="Y141" s="25"/>
      <c r="Z141" s="25"/>
      <c r="AA141" s="25"/>
      <c r="AB141" s="25"/>
    </row>
    <row r="142" spans="2:28" x14ac:dyDescent="0.25">
      <c r="C142" s="40"/>
      <c r="D142" s="2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9"/>
      <c r="V142" s="29"/>
      <c r="W142" s="30"/>
      <c r="X142" s="29"/>
      <c r="Y142" s="25"/>
      <c r="Z142" s="25"/>
      <c r="AA142" s="25"/>
      <c r="AB142" s="25"/>
    </row>
    <row r="143" spans="2:28" x14ac:dyDescent="0.25">
      <c r="C143" s="40"/>
      <c r="D143" s="2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9"/>
      <c r="V143" s="29"/>
      <c r="W143" s="30"/>
      <c r="X143" s="29"/>
      <c r="Y143" s="25"/>
      <c r="Z143" s="25"/>
      <c r="AA143" s="25"/>
      <c r="AB143" s="25"/>
    </row>
    <row r="144" spans="2:28" x14ac:dyDescent="0.25">
      <c r="C144" s="40"/>
      <c r="D144" s="25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9"/>
      <c r="V144" s="29"/>
      <c r="W144" s="30"/>
      <c r="X144" s="29"/>
      <c r="Y144" s="25"/>
      <c r="Z144" s="25"/>
      <c r="AA144" s="25"/>
      <c r="AB144" s="25"/>
    </row>
    <row r="145" spans="2:28" x14ac:dyDescent="0.25">
      <c r="C145" s="40"/>
      <c r="D145" s="25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9"/>
      <c r="V145" s="29"/>
      <c r="W145" s="30"/>
      <c r="X145" s="29"/>
      <c r="Y145" s="25"/>
      <c r="Z145" s="25"/>
      <c r="AA145" s="25"/>
      <c r="AB145" s="25"/>
    </row>
    <row r="146" spans="2:28" x14ac:dyDescent="0.25">
      <c r="C146" s="40"/>
      <c r="D146" s="25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9"/>
      <c r="V146" s="29"/>
      <c r="W146" s="30"/>
      <c r="X146" s="29"/>
      <c r="Y146" s="25"/>
      <c r="Z146" s="25"/>
      <c r="AA146" s="25"/>
      <c r="AB146" s="25"/>
    </row>
    <row r="147" spans="2:28" x14ac:dyDescent="0.25">
      <c r="C147" s="40"/>
      <c r="D147" s="25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9"/>
      <c r="V147" s="29"/>
      <c r="W147" s="30"/>
      <c r="X147" s="29"/>
      <c r="Y147" s="25"/>
      <c r="Z147" s="25"/>
      <c r="AA147" s="25"/>
      <c r="AB147" s="25"/>
    </row>
    <row r="148" spans="2:28" x14ac:dyDescent="0.25">
      <c r="C148" s="40"/>
      <c r="D148" s="25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9"/>
      <c r="V148" s="29"/>
      <c r="W148" s="30"/>
      <c r="X148" s="29"/>
      <c r="Y148" s="25"/>
      <c r="Z148" s="25"/>
      <c r="AA148" s="25"/>
      <c r="AB148" s="25"/>
    </row>
    <row r="149" spans="2:28" x14ac:dyDescent="0.25">
      <c r="C149" s="31"/>
      <c r="D149" s="25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5"/>
      <c r="V149" s="25"/>
      <c r="W149" s="30"/>
      <c r="X149" s="25"/>
      <c r="Y149" s="25"/>
      <c r="Z149" s="25"/>
      <c r="AA149" s="25"/>
      <c r="AB149" s="25"/>
    </row>
    <row r="150" spans="2:28" x14ac:dyDescent="0.25">
      <c r="C150" s="31"/>
      <c r="D150" s="2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25"/>
      <c r="S150" s="26"/>
      <c r="T150" s="26"/>
      <c r="U150" s="25"/>
      <c r="V150" s="25"/>
      <c r="W150" s="30"/>
      <c r="X150" s="25"/>
      <c r="Y150" s="25"/>
      <c r="Z150" s="25"/>
      <c r="AA150" s="25"/>
      <c r="AB150" s="25"/>
    </row>
    <row r="151" spans="2:28" x14ac:dyDescent="0.25">
      <c r="B151" s="25"/>
      <c r="C151" s="31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25"/>
      <c r="Z151" s="25"/>
      <c r="AA151" s="25"/>
      <c r="AB151" s="25"/>
    </row>
    <row r="152" spans="2:28" x14ac:dyDescent="0.25">
      <c r="B152" s="25"/>
      <c r="C152" s="31"/>
      <c r="D152" s="25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4"/>
      <c r="V152" s="34"/>
      <c r="W152" s="35"/>
      <c r="X152" s="34"/>
      <c r="Y152" s="25"/>
      <c r="Z152" s="25"/>
      <c r="AA152" s="25"/>
      <c r="AB152" s="25"/>
    </row>
    <row r="153" spans="2:28" x14ac:dyDescent="0.25">
      <c r="B153" s="25"/>
      <c r="C153" s="40"/>
      <c r="D153" s="34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4"/>
      <c r="V153" s="34"/>
      <c r="W153" s="35"/>
      <c r="X153" s="34"/>
    </row>
    <row r="154" spans="2:28" x14ac:dyDescent="0.25">
      <c r="B154" s="41"/>
      <c r="C154" s="40"/>
      <c r="D154" s="34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4"/>
      <c r="V154" s="34"/>
      <c r="W154" s="35"/>
      <c r="X154" s="34"/>
    </row>
    <row r="155" spans="2:28" x14ac:dyDescent="0.25">
      <c r="C155" s="40"/>
      <c r="D155" s="34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9"/>
      <c r="V155" s="29"/>
      <c r="W155" s="30"/>
      <c r="X155" s="29"/>
    </row>
    <row r="156" spans="2:28" x14ac:dyDescent="0.25">
      <c r="C156" s="40"/>
      <c r="D156" s="34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9"/>
      <c r="V156" s="29"/>
      <c r="W156" s="30"/>
      <c r="X156" s="29"/>
    </row>
    <row r="157" spans="2:28" x14ac:dyDescent="0.25">
      <c r="C157" s="40"/>
      <c r="D157" s="34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9"/>
      <c r="V157" s="29"/>
      <c r="W157" s="30"/>
      <c r="X157" s="29"/>
    </row>
    <row r="158" spans="2:28" x14ac:dyDescent="0.25">
      <c r="C158" s="31"/>
      <c r="D158" s="25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9"/>
      <c r="V158" s="29"/>
      <c r="W158" s="30"/>
      <c r="X158" s="29"/>
    </row>
    <row r="159" spans="2:28" x14ac:dyDescent="0.25">
      <c r="C159" s="40"/>
      <c r="D159" s="25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9"/>
      <c r="V159" s="29"/>
      <c r="W159" s="30"/>
      <c r="X159" s="29"/>
    </row>
    <row r="160" spans="2:28" x14ac:dyDescent="0.25">
      <c r="C160" s="31"/>
      <c r="D160" s="25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5"/>
      <c r="V160" s="25"/>
      <c r="W160" s="30"/>
      <c r="X160" s="25"/>
    </row>
    <row r="161" spans="2:24" x14ac:dyDescent="0.25">
      <c r="C161" s="31"/>
      <c r="D161" s="25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9"/>
      <c r="V161" s="29"/>
      <c r="W161" s="30"/>
      <c r="X161" s="29"/>
    </row>
    <row r="162" spans="2:24" x14ac:dyDescent="0.25">
      <c r="B162" s="25"/>
      <c r="C162" s="31"/>
      <c r="D162" s="25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5"/>
      <c r="V162" s="25"/>
      <c r="W162" s="30"/>
      <c r="X162" s="25"/>
    </row>
    <row r="163" spans="2:24" x14ac:dyDescent="0.25">
      <c r="B163" s="25"/>
      <c r="C163" s="31"/>
      <c r="D163" s="25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5"/>
      <c r="V163" s="25"/>
      <c r="W163" s="30"/>
      <c r="X163" s="25"/>
    </row>
    <row r="164" spans="2:24" x14ac:dyDescent="0.25">
      <c r="B164" s="25"/>
      <c r="C164" s="31"/>
      <c r="D164" s="25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42"/>
      <c r="V164" s="42"/>
      <c r="W164" s="30"/>
      <c r="X164" s="42"/>
    </row>
    <row r="165" spans="2:24" x14ac:dyDescent="0.25">
      <c r="B165" s="25"/>
      <c r="C165" s="31"/>
      <c r="D165" s="25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43"/>
      <c r="V165" s="43"/>
      <c r="W165" s="30"/>
      <c r="X165" s="43"/>
    </row>
    <row r="166" spans="2:24" x14ac:dyDescent="0.25">
      <c r="C166" s="31"/>
      <c r="D166" s="25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5"/>
      <c r="V166" s="25"/>
      <c r="W166" s="30"/>
      <c r="X166" s="25"/>
    </row>
    <row r="167" spans="2:24" x14ac:dyDescent="0.25">
      <c r="C167" s="31"/>
      <c r="D167" s="25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5"/>
      <c r="V167" s="25"/>
      <c r="W167" s="30"/>
      <c r="X167" s="25"/>
    </row>
    <row r="168" spans="2:24" x14ac:dyDescent="0.25">
      <c r="C168" s="31"/>
      <c r="D168" s="25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5"/>
      <c r="V168" s="25"/>
      <c r="W168" s="30"/>
      <c r="X168" s="25"/>
    </row>
    <row r="169" spans="2:24" x14ac:dyDescent="0.25">
      <c r="C169" s="31"/>
      <c r="D169" s="25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5"/>
      <c r="V169" s="25"/>
      <c r="W169" s="30"/>
      <c r="X169" s="25"/>
    </row>
    <row r="170" spans="2:24" x14ac:dyDescent="0.25">
      <c r="C170" s="31"/>
      <c r="D170" s="25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5"/>
      <c r="V170" s="25"/>
      <c r="W170" s="30"/>
      <c r="X170" s="25"/>
    </row>
    <row r="171" spans="2:24" x14ac:dyDescent="0.25">
      <c r="C171" s="31"/>
      <c r="D171" s="25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5"/>
      <c r="V171" s="25"/>
      <c r="W171" s="30"/>
      <c r="X171" s="25"/>
    </row>
    <row r="172" spans="2:24" x14ac:dyDescent="0.25">
      <c r="C172" s="31"/>
      <c r="D172" s="25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5"/>
      <c r="V172" s="25"/>
      <c r="W172" s="30"/>
      <c r="X172" s="25"/>
    </row>
    <row r="173" spans="2:24" x14ac:dyDescent="0.25">
      <c r="C173" s="31"/>
      <c r="D173" s="25"/>
      <c r="E173" s="26"/>
      <c r="F173" s="26"/>
      <c r="G173" s="26"/>
      <c r="H173" s="26"/>
      <c r="I173" s="26"/>
      <c r="J173" s="26"/>
      <c r="K173" s="26"/>
      <c r="L173" s="26">
        <v>3003000</v>
      </c>
      <c r="M173" s="26"/>
      <c r="N173" s="26"/>
      <c r="O173" s="26"/>
      <c r="P173" s="26"/>
      <c r="Q173" s="26"/>
      <c r="R173" s="26"/>
      <c r="S173" s="26"/>
      <c r="T173" s="26"/>
      <c r="U173" s="25"/>
      <c r="V173" s="25"/>
      <c r="W173" s="30"/>
      <c r="X173" s="25"/>
    </row>
    <row r="174" spans="2:24" x14ac:dyDescent="0.25">
      <c r="C174" s="40"/>
      <c r="D174" s="25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5"/>
      <c r="V174" s="25"/>
      <c r="W174" s="30"/>
      <c r="X174" s="25"/>
    </row>
    <row r="175" spans="2:24" x14ac:dyDescent="0.25">
      <c r="C175" s="40"/>
      <c r="D175" s="25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5"/>
      <c r="V175" s="25"/>
      <c r="W175" s="30"/>
      <c r="X175" s="25"/>
    </row>
    <row r="176" spans="2:24" x14ac:dyDescent="0.25">
      <c r="C176" s="40"/>
      <c r="D176" s="25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5"/>
      <c r="V176" s="25"/>
      <c r="W176" s="30"/>
      <c r="X176" s="25"/>
    </row>
    <row r="177" spans="3:24" x14ac:dyDescent="0.25">
      <c r="C177" s="40"/>
      <c r="D177" s="25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5"/>
      <c r="V177" s="25"/>
      <c r="W177" s="30"/>
      <c r="X177" s="25"/>
    </row>
    <row r="178" spans="3:24" x14ac:dyDescent="0.25">
      <c r="C178" s="31">
        <v>42614840</v>
      </c>
      <c r="D178" s="25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>
        <v>412608</v>
      </c>
      <c r="U178" s="25"/>
      <c r="V178" s="25"/>
      <c r="W178" s="30"/>
      <c r="X178" s="25"/>
    </row>
    <row r="179" spans="3:24" x14ac:dyDescent="0.25">
      <c r="C179" s="31">
        <v>9675182</v>
      </c>
      <c r="D179" s="25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>
        <v>1880000</v>
      </c>
      <c r="U179" s="25"/>
      <c r="V179" s="25"/>
      <c r="W179" s="30"/>
      <c r="X179" s="25"/>
    </row>
    <row r="180" spans="3:24" x14ac:dyDescent="0.25">
      <c r="C180" s="31">
        <v>17903600</v>
      </c>
      <c r="D180" s="25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5"/>
      <c r="V180" s="25"/>
      <c r="W180" s="30"/>
      <c r="X180" s="25"/>
    </row>
    <row r="181" spans="3:24" x14ac:dyDescent="0.25">
      <c r="C181" s="31">
        <f>SUM(C178:C180)</f>
        <v>70193622</v>
      </c>
      <c r="D181" s="25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5"/>
      <c r="V181" s="25"/>
      <c r="W181" s="30"/>
      <c r="X181" s="25"/>
    </row>
    <row r="182" spans="3:24" x14ac:dyDescent="0.25">
      <c r="C182" s="31">
        <v>400000</v>
      </c>
      <c r="D182" s="25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5"/>
      <c r="V182" s="25"/>
      <c r="W182" s="30"/>
      <c r="X182" s="25"/>
    </row>
    <row r="183" spans="3:24" x14ac:dyDescent="0.25">
      <c r="C183" s="31">
        <f>+C181+C182</f>
        <v>70593622</v>
      </c>
      <c r="D183" s="25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5"/>
      <c r="V183" s="25"/>
      <c r="W183" s="30"/>
      <c r="X183" s="25"/>
    </row>
    <row r="186" spans="3:24" x14ac:dyDescent="0.25">
      <c r="C186" s="24">
        <v>64000000</v>
      </c>
    </row>
    <row r="187" spans="3:24" x14ac:dyDescent="0.25">
      <c r="C187" s="24">
        <v>11000000</v>
      </c>
    </row>
    <row r="188" spans="3:24" x14ac:dyDescent="0.25">
      <c r="C188" s="24">
        <f>+C186+C187</f>
        <v>75000000</v>
      </c>
    </row>
    <row r="192" spans="3:24" x14ac:dyDescent="0.25">
      <c r="C192" s="24">
        <v>2745000</v>
      </c>
    </row>
    <row r="193" spans="3:3" x14ac:dyDescent="0.25">
      <c r="C193" s="24">
        <v>3185000</v>
      </c>
    </row>
    <row r="194" spans="3:3" x14ac:dyDescent="0.25">
      <c r="C194" s="24">
        <v>1080000</v>
      </c>
    </row>
    <row r="195" spans="3:3" x14ac:dyDescent="0.25">
      <c r="C195" s="24">
        <v>4850100</v>
      </c>
    </row>
    <row r="196" spans="3:3" x14ac:dyDescent="0.25">
      <c r="C196" s="24">
        <v>5027500</v>
      </c>
    </row>
    <row r="197" spans="3:3" x14ac:dyDescent="0.25">
      <c r="C197" s="24">
        <v>4566000</v>
      </c>
    </row>
    <row r="198" spans="3:3" x14ac:dyDescent="0.25">
      <c r="C198" s="24">
        <v>1050000</v>
      </c>
    </row>
    <row r="199" spans="3:3" x14ac:dyDescent="0.25">
      <c r="C199" s="24">
        <v>3877333</v>
      </c>
    </row>
    <row r="200" spans="3:3" x14ac:dyDescent="0.25">
      <c r="C200" s="24">
        <v>6732440</v>
      </c>
    </row>
    <row r="201" spans="3:3" x14ac:dyDescent="0.25">
      <c r="C201" s="24">
        <v>3460000</v>
      </c>
    </row>
    <row r="202" spans="3:3" x14ac:dyDescent="0.25">
      <c r="C202" s="24">
        <v>588800</v>
      </c>
    </row>
    <row r="203" spans="3:3" x14ac:dyDescent="0.25">
      <c r="C203" s="24">
        <v>1868000</v>
      </c>
    </row>
    <row r="204" spans="3:3" x14ac:dyDescent="0.25">
      <c r="C204" s="24">
        <v>10313000</v>
      </c>
    </row>
    <row r="205" spans="3:3" x14ac:dyDescent="0.25">
      <c r="C205" s="24">
        <v>3443800</v>
      </c>
    </row>
    <row r="206" spans="3:3" x14ac:dyDescent="0.25">
      <c r="C206" s="24">
        <v>8136400</v>
      </c>
    </row>
    <row r="207" spans="3:3" x14ac:dyDescent="0.25">
      <c r="C207" s="24">
        <v>9675183</v>
      </c>
    </row>
    <row r="208" spans="3:3" x14ac:dyDescent="0.25">
      <c r="C208" s="24">
        <f>SUM(C192:C207)</f>
        <v>70598556</v>
      </c>
    </row>
  </sheetData>
  <mergeCells count="7">
    <mergeCell ref="D151:X151"/>
    <mergeCell ref="C1:U1"/>
    <mergeCell ref="E2:K2"/>
    <mergeCell ref="L2:T2"/>
    <mergeCell ref="A3:A47"/>
    <mergeCell ref="A48:A115"/>
    <mergeCell ref="E150:Q15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23B4-AB14-46B8-A637-32E4B73A8BC4}">
  <dimension ref="A1:AB205"/>
  <sheetViews>
    <sheetView tabSelected="1" workbookViewId="0">
      <selection activeCell="L55" sqref="L55:M55"/>
    </sheetView>
  </sheetViews>
  <sheetFormatPr baseColWidth="10" defaultRowHeight="12" x14ac:dyDescent="0.25"/>
  <cols>
    <col min="1" max="1" width="10.42578125" style="10" customWidth="1"/>
    <col min="2" max="2" width="4.85546875" style="10" customWidth="1"/>
    <col min="3" max="3" width="32.28515625" style="24" customWidth="1"/>
    <col min="4" max="4" width="8.5703125" style="10" customWidth="1"/>
    <col min="5" max="5" width="10.85546875" style="27" customWidth="1"/>
    <col min="6" max="6" width="4.42578125" style="27" customWidth="1"/>
    <col min="7" max="7" width="13" style="27" customWidth="1"/>
    <col min="8" max="8" width="11.28515625" style="27" bestFit="1" customWidth="1"/>
    <col min="9" max="10" width="12.28515625" style="27" bestFit="1" customWidth="1"/>
    <col min="11" max="11" width="13.28515625" style="27" bestFit="1" customWidth="1"/>
    <col min="12" max="13" width="12.28515625" style="27" bestFit="1" customWidth="1"/>
    <col min="14" max="16" width="11.28515625" style="27" bestFit="1" customWidth="1"/>
    <col min="17" max="17" width="12.28515625" style="27" bestFit="1" customWidth="1"/>
    <col min="18" max="18" width="11.28515625" style="27" bestFit="1" customWidth="1"/>
    <col min="19" max="20" width="12.28515625" style="27" bestFit="1" customWidth="1"/>
    <col min="21" max="21" width="13.42578125" style="10" customWidth="1"/>
    <col min="22" max="22" width="2.140625" style="10" customWidth="1"/>
    <col min="23" max="23" width="1.5703125" style="28" customWidth="1"/>
    <col min="24" max="24" width="27.28515625" style="10" customWidth="1"/>
    <col min="25" max="246" width="11.42578125" style="10"/>
    <col min="247" max="247" width="10.5703125" style="10" customWidth="1"/>
    <col min="248" max="248" width="4.85546875" style="10" customWidth="1"/>
    <col min="249" max="249" width="32.42578125" style="10" customWidth="1"/>
    <col min="250" max="250" width="9.85546875" style="10" customWidth="1"/>
    <col min="251" max="251" width="10.140625" style="10" customWidth="1"/>
    <col min="252" max="252" width="12.28515625" style="10" customWidth="1"/>
    <col min="253" max="253" width="15.42578125" style="10" customWidth="1"/>
    <col min="254" max="254" width="11.85546875" style="10" customWidth="1"/>
    <col min="255" max="255" width="13.28515625" style="10" customWidth="1"/>
    <col min="256" max="256" width="15.28515625" style="10" customWidth="1"/>
    <col min="257" max="257" width="11.85546875" style="10" customWidth="1"/>
    <col min="258" max="258" width="6.140625" style="10" customWidth="1"/>
    <col min="259" max="259" width="11.85546875" style="10" customWidth="1"/>
    <col min="260" max="260" width="9.42578125" style="10" customWidth="1"/>
    <col min="261" max="261" width="14.7109375" style="10" customWidth="1"/>
    <col min="262" max="262" width="11.5703125" style="10" customWidth="1"/>
    <col min="263" max="263" width="0.42578125" style="10" customWidth="1"/>
    <col min="264" max="264" width="10.5703125" style="10" bestFit="1" customWidth="1"/>
    <col min="265" max="265" width="12.28515625" style="10" customWidth="1"/>
    <col min="266" max="266" width="12.5703125" style="10" customWidth="1"/>
    <col min="267" max="267" width="10.5703125" style="10" customWidth="1"/>
    <col min="268" max="268" width="10.140625" style="10" customWidth="1"/>
    <col min="269" max="269" width="8.42578125" style="10" customWidth="1"/>
    <col min="270" max="270" width="18.85546875" style="10" customWidth="1"/>
    <col min="271" max="271" width="10.28515625" style="10" customWidth="1"/>
    <col min="272" max="272" width="11.42578125" style="10"/>
    <col min="273" max="273" width="12.140625" style="10" customWidth="1"/>
    <col min="274" max="274" width="10.5703125" style="10" customWidth="1"/>
    <col min="275" max="275" width="12.42578125" style="10" customWidth="1"/>
    <col min="276" max="276" width="15.140625" style="10" customWidth="1"/>
    <col min="277" max="277" width="13.5703125" style="10" customWidth="1"/>
    <col min="278" max="278" width="13.140625" style="10" customWidth="1"/>
    <col min="279" max="279" width="15.7109375" style="10" customWidth="1"/>
    <col min="280" max="280" width="37.5703125" style="10" customWidth="1"/>
    <col min="281" max="502" width="11.42578125" style="10"/>
    <col min="503" max="503" width="10.5703125" style="10" customWidth="1"/>
    <col min="504" max="504" width="4.85546875" style="10" customWidth="1"/>
    <col min="505" max="505" width="32.42578125" style="10" customWidth="1"/>
    <col min="506" max="506" width="9.85546875" style="10" customWidth="1"/>
    <col min="507" max="507" width="10.140625" style="10" customWidth="1"/>
    <col min="508" max="508" width="12.28515625" style="10" customWidth="1"/>
    <col min="509" max="509" width="15.42578125" style="10" customWidth="1"/>
    <col min="510" max="510" width="11.85546875" style="10" customWidth="1"/>
    <col min="511" max="511" width="13.28515625" style="10" customWidth="1"/>
    <col min="512" max="512" width="15.28515625" style="10" customWidth="1"/>
    <col min="513" max="513" width="11.85546875" style="10" customWidth="1"/>
    <col min="514" max="514" width="6.140625" style="10" customWidth="1"/>
    <col min="515" max="515" width="11.85546875" style="10" customWidth="1"/>
    <col min="516" max="516" width="9.42578125" style="10" customWidth="1"/>
    <col min="517" max="517" width="14.7109375" style="10" customWidth="1"/>
    <col min="518" max="518" width="11.5703125" style="10" customWidth="1"/>
    <col min="519" max="519" width="0.42578125" style="10" customWidth="1"/>
    <col min="520" max="520" width="10.5703125" style="10" bestFit="1" customWidth="1"/>
    <col min="521" max="521" width="12.28515625" style="10" customWidth="1"/>
    <col min="522" max="522" width="12.5703125" style="10" customWidth="1"/>
    <col min="523" max="523" width="10.5703125" style="10" customWidth="1"/>
    <col min="524" max="524" width="10.140625" style="10" customWidth="1"/>
    <col min="525" max="525" width="8.42578125" style="10" customWidth="1"/>
    <col min="526" max="526" width="18.85546875" style="10" customWidth="1"/>
    <col min="527" max="527" width="10.28515625" style="10" customWidth="1"/>
    <col min="528" max="528" width="11.42578125" style="10"/>
    <col min="529" max="529" width="12.140625" style="10" customWidth="1"/>
    <col min="530" max="530" width="10.5703125" style="10" customWidth="1"/>
    <col min="531" max="531" width="12.42578125" style="10" customWidth="1"/>
    <col min="532" max="532" width="15.140625" style="10" customWidth="1"/>
    <col min="533" max="533" width="13.5703125" style="10" customWidth="1"/>
    <col min="534" max="534" width="13.140625" style="10" customWidth="1"/>
    <col min="535" max="535" width="15.7109375" style="10" customWidth="1"/>
    <col min="536" max="536" width="37.5703125" style="10" customWidth="1"/>
    <col min="537" max="758" width="11.42578125" style="10"/>
    <col min="759" max="759" width="10.5703125" style="10" customWidth="1"/>
    <col min="760" max="760" width="4.85546875" style="10" customWidth="1"/>
    <col min="761" max="761" width="32.42578125" style="10" customWidth="1"/>
    <col min="762" max="762" width="9.85546875" style="10" customWidth="1"/>
    <col min="763" max="763" width="10.140625" style="10" customWidth="1"/>
    <col min="764" max="764" width="12.28515625" style="10" customWidth="1"/>
    <col min="765" max="765" width="15.42578125" style="10" customWidth="1"/>
    <col min="766" max="766" width="11.85546875" style="10" customWidth="1"/>
    <col min="767" max="767" width="13.28515625" style="10" customWidth="1"/>
    <col min="768" max="768" width="15.28515625" style="10" customWidth="1"/>
    <col min="769" max="769" width="11.85546875" style="10" customWidth="1"/>
    <col min="770" max="770" width="6.140625" style="10" customWidth="1"/>
    <col min="771" max="771" width="11.85546875" style="10" customWidth="1"/>
    <col min="772" max="772" width="9.42578125" style="10" customWidth="1"/>
    <col min="773" max="773" width="14.7109375" style="10" customWidth="1"/>
    <col min="774" max="774" width="11.5703125" style="10" customWidth="1"/>
    <col min="775" max="775" width="0.42578125" style="10" customWidth="1"/>
    <col min="776" max="776" width="10.5703125" style="10" bestFit="1" customWidth="1"/>
    <col min="777" max="777" width="12.28515625" style="10" customWidth="1"/>
    <col min="778" max="778" width="12.5703125" style="10" customWidth="1"/>
    <col min="779" max="779" width="10.5703125" style="10" customWidth="1"/>
    <col min="780" max="780" width="10.140625" style="10" customWidth="1"/>
    <col min="781" max="781" width="8.42578125" style="10" customWidth="1"/>
    <col min="782" max="782" width="18.85546875" style="10" customWidth="1"/>
    <col min="783" max="783" width="10.28515625" style="10" customWidth="1"/>
    <col min="784" max="784" width="11.42578125" style="10"/>
    <col min="785" max="785" width="12.140625" style="10" customWidth="1"/>
    <col min="786" max="786" width="10.5703125" style="10" customWidth="1"/>
    <col min="787" max="787" width="12.42578125" style="10" customWidth="1"/>
    <col min="788" max="788" width="15.140625" style="10" customWidth="1"/>
    <col min="789" max="789" width="13.5703125" style="10" customWidth="1"/>
    <col min="790" max="790" width="13.140625" style="10" customWidth="1"/>
    <col min="791" max="791" width="15.7109375" style="10" customWidth="1"/>
    <col min="792" max="792" width="37.5703125" style="10" customWidth="1"/>
    <col min="793" max="1014" width="11.42578125" style="10"/>
    <col min="1015" max="1015" width="10.5703125" style="10" customWidth="1"/>
    <col min="1016" max="1016" width="4.85546875" style="10" customWidth="1"/>
    <col min="1017" max="1017" width="32.42578125" style="10" customWidth="1"/>
    <col min="1018" max="1018" width="9.85546875" style="10" customWidth="1"/>
    <col min="1019" max="1019" width="10.140625" style="10" customWidth="1"/>
    <col min="1020" max="1020" width="12.28515625" style="10" customWidth="1"/>
    <col min="1021" max="1021" width="15.42578125" style="10" customWidth="1"/>
    <col min="1022" max="1022" width="11.85546875" style="10" customWidth="1"/>
    <col min="1023" max="1023" width="13.28515625" style="10" customWidth="1"/>
    <col min="1024" max="1024" width="15.28515625" style="10" customWidth="1"/>
    <col min="1025" max="1025" width="11.85546875" style="10" customWidth="1"/>
    <col min="1026" max="1026" width="6.140625" style="10" customWidth="1"/>
    <col min="1027" max="1027" width="11.85546875" style="10" customWidth="1"/>
    <col min="1028" max="1028" width="9.42578125" style="10" customWidth="1"/>
    <col min="1029" max="1029" width="14.7109375" style="10" customWidth="1"/>
    <col min="1030" max="1030" width="11.5703125" style="10" customWidth="1"/>
    <col min="1031" max="1031" width="0.42578125" style="10" customWidth="1"/>
    <col min="1032" max="1032" width="10.5703125" style="10" bestFit="1" customWidth="1"/>
    <col min="1033" max="1033" width="12.28515625" style="10" customWidth="1"/>
    <col min="1034" max="1034" width="12.5703125" style="10" customWidth="1"/>
    <col min="1035" max="1035" width="10.5703125" style="10" customWidth="1"/>
    <col min="1036" max="1036" width="10.140625" style="10" customWidth="1"/>
    <col min="1037" max="1037" width="8.42578125" style="10" customWidth="1"/>
    <col min="1038" max="1038" width="18.85546875" style="10" customWidth="1"/>
    <col min="1039" max="1039" width="10.28515625" style="10" customWidth="1"/>
    <col min="1040" max="1040" width="11.42578125" style="10"/>
    <col min="1041" max="1041" width="12.140625" style="10" customWidth="1"/>
    <col min="1042" max="1042" width="10.5703125" style="10" customWidth="1"/>
    <col min="1043" max="1043" width="12.42578125" style="10" customWidth="1"/>
    <col min="1044" max="1044" width="15.140625" style="10" customWidth="1"/>
    <col min="1045" max="1045" width="13.5703125" style="10" customWidth="1"/>
    <col min="1046" max="1046" width="13.140625" style="10" customWidth="1"/>
    <col min="1047" max="1047" width="15.7109375" style="10" customWidth="1"/>
    <col min="1048" max="1048" width="37.5703125" style="10" customWidth="1"/>
    <col min="1049" max="1270" width="11.42578125" style="10"/>
    <col min="1271" max="1271" width="10.5703125" style="10" customWidth="1"/>
    <col min="1272" max="1272" width="4.85546875" style="10" customWidth="1"/>
    <col min="1273" max="1273" width="32.42578125" style="10" customWidth="1"/>
    <col min="1274" max="1274" width="9.85546875" style="10" customWidth="1"/>
    <col min="1275" max="1275" width="10.140625" style="10" customWidth="1"/>
    <col min="1276" max="1276" width="12.28515625" style="10" customWidth="1"/>
    <col min="1277" max="1277" width="15.42578125" style="10" customWidth="1"/>
    <col min="1278" max="1278" width="11.85546875" style="10" customWidth="1"/>
    <col min="1279" max="1279" width="13.28515625" style="10" customWidth="1"/>
    <col min="1280" max="1280" width="15.28515625" style="10" customWidth="1"/>
    <col min="1281" max="1281" width="11.85546875" style="10" customWidth="1"/>
    <col min="1282" max="1282" width="6.140625" style="10" customWidth="1"/>
    <col min="1283" max="1283" width="11.85546875" style="10" customWidth="1"/>
    <col min="1284" max="1284" width="9.42578125" style="10" customWidth="1"/>
    <col min="1285" max="1285" width="14.7109375" style="10" customWidth="1"/>
    <col min="1286" max="1286" width="11.5703125" style="10" customWidth="1"/>
    <col min="1287" max="1287" width="0.42578125" style="10" customWidth="1"/>
    <col min="1288" max="1288" width="10.5703125" style="10" bestFit="1" customWidth="1"/>
    <col min="1289" max="1289" width="12.28515625" style="10" customWidth="1"/>
    <col min="1290" max="1290" width="12.5703125" style="10" customWidth="1"/>
    <col min="1291" max="1291" width="10.5703125" style="10" customWidth="1"/>
    <col min="1292" max="1292" width="10.140625" style="10" customWidth="1"/>
    <col min="1293" max="1293" width="8.42578125" style="10" customWidth="1"/>
    <col min="1294" max="1294" width="18.85546875" style="10" customWidth="1"/>
    <col min="1295" max="1295" width="10.28515625" style="10" customWidth="1"/>
    <col min="1296" max="1296" width="11.42578125" style="10"/>
    <col min="1297" max="1297" width="12.140625" style="10" customWidth="1"/>
    <col min="1298" max="1298" width="10.5703125" style="10" customWidth="1"/>
    <col min="1299" max="1299" width="12.42578125" style="10" customWidth="1"/>
    <col min="1300" max="1300" width="15.140625" style="10" customWidth="1"/>
    <col min="1301" max="1301" width="13.5703125" style="10" customWidth="1"/>
    <col min="1302" max="1302" width="13.140625" style="10" customWidth="1"/>
    <col min="1303" max="1303" width="15.7109375" style="10" customWidth="1"/>
    <col min="1304" max="1304" width="37.5703125" style="10" customWidth="1"/>
    <col min="1305" max="1526" width="11.42578125" style="10"/>
    <col min="1527" max="1527" width="10.5703125" style="10" customWidth="1"/>
    <col min="1528" max="1528" width="4.85546875" style="10" customWidth="1"/>
    <col min="1529" max="1529" width="32.42578125" style="10" customWidth="1"/>
    <col min="1530" max="1530" width="9.85546875" style="10" customWidth="1"/>
    <col min="1531" max="1531" width="10.140625" style="10" customWidth="1"/>
    <col min="1532" max="1532" width="12.28515625" style="10" customWidth="1"/>
    <col min="1533" max="1533" width="15.42578125" style="10" customWidth="1"/>
    <col min="1534" max="1534" width="11.85546875" style="10" customWidth="1"/>
    <col min="1535" max="1535" width="13.28515625" style="10" customWidth="1"/>
    <col min="1536" max="1536" width="15.28515625" style="10" customWidth="1"/>
    <col min="1537" max="1537" width="11.85546875" style="10" customWidth="1"/>
    <col min="1538" max="1538" width="6.140625" style="10" customWidth="1"/>
    <col min="1539" max="1539" width="11.85546875" style="10" customWidth="1"/>
    <col min="1540" max="1540" width="9.42578125" style="10" customWidth="1"/>
    <col min="1541" max="1541" width="14.7109375" style="10" customWidth="1"/>
    <col min="1542" max="1542" width="11.5703125" style="10" customWidth="1"/>
    <col min="1543" max="1543" width="0.42578125" style="10" customWidth="1"/>
    <col min="1544" max="1544" width="10.5703125" style="10" bestFit="1" customWidth="1"/>
    <col min="1545" max="1545" width="12.28515625" style="10" customWidth="1"/>
    <col min="1546" max="1546" width="12.5703125" style="10" customWidth="1"/>
    <col min="1547" max="1547" width="10.5703125" style="10" customWidth="1"/>
    <col min="1548" max="1548" width="10.140625" style="10" customWidth="1"/>
    <col min="1549" max="1549" width="8.42578125" style="10" customWidth="1"/>
    <col min="1550" max="1550" width="18.85546875" style="10" customWidth="1"/>
    <col min="1551" max="1551" width="10.28515625" style="10" customWidth="1"/>
    <col min="1552" max="1552" width="11.42578125" style="10"/>
    <col min="1553" max="1553" width="12.140625" style="10" customWidth="1"/>
    <col min="1554" max="1554" width="10.5703125" style="10" customWidth="1"/>
    <col min="1555" max="1555" width="12.42578125" style="10" customWidth="1"/>
    <col min="1556" max="1556" width="15.140625" style="10" customWidth="1"/>
    <col min="1557" max="1557" width="13.5703125" style="10" customWidth="1"/>
    <col min="1558" max="1558" width="13.140625" style="10" customWidth="1"/>
    <col min="1559" max="1559" width="15.7109375" style="10" customWidth="1"/>
    <col min="1560" max="1560" width="37.5703125" style="10" customWidth="1"/>
    <col min="1561" max="1782" width="11.42578125" style="10"/>
    <col min="1783" max="1783" width="10.5703125" style="10" customWidth="1"/>
    <col min="1784" max="1784" width="4.85546875" style="10" customWidth="1"/>
    <col min="1785" max="1785" width="32.42578125" style="10" customWidth="1"/>
    <col min="1786" max="1786" width="9.85546875" style="10" customWidth="1"/>
    <col min="1787" max="1787" width="10.140625" style="10" customWidth="1"/>
    <col min="1788" max="1788" width="12.28515625" style="10" customWidth="1"/>
    <col min="1789" max="1789" width="15.42578125" style="10" customWidth="1"/>
    <col min="1790" max="1790" width="11.85546875" style="10" customWidth="1"/>
    <col min="1791" max="1791" width="13.28515625" style="10" customWidth="1"/>
    <col min="1792" max="1792" width="15.28515625" style="10" customWidth="1"/>
    <col min="1793" max="1793" width="11.85546875" style="10" customWidth="1"/>
    <col min="1794" max="1794" width="6.140625" style="10" customWidth="1"/>
    <col min="1795" max="1795" width="11.85546875" style="10" customWidth="1"/>
    <col min="1796" max="1796" width="9.42578125" style="10" customWidth="1"/>
    <col min="1797" max="1797" width="14.7109375" style="10" customWidth="1"/>
    <col min="1798" max="1798" width="11.5703125" style="10" customWidth="1"/>
    <col min="1799" max="1799" width="0.42578125" style="10" customWidth="1"/>
    <col min="1800" max="1800" width="10.5703125" style="10" bestFit="1" customWidth="1"/>
    <col min="1801" max="1801" width="12.28515625" style="10" customWidth="1"/>
    <col min="1802" max="1802" width="12.5703125" style="10" customWidth="1"/>
    <col min="1803" max="1803" width="10.5703125" style="10" customWidth="1"/>
    <col min="1804" max="1804" width="10.140625" style="10" customWidth="1"/>
    <col min="1805" max="1805" width="8.42578125" style="10" customWidth="1"/>
    <col min="1806" max="1806" width="18.85546875" style="10" customWidth="1"/>
    <col min="1807" max="1807" width="10.28515625" style="10" customWidth="1"/>
    <col min="1808" max="1808" width="11.42578125" style="10"/>
    <col min="1809" max="1809" width="12.140625" style="10" customWidth="1"/>
    <col min="1810" max="1810" width="10.5703125" style="10" customWidth="1"/>
    <col min="1811" max="1811" width="12.42578125" style="10" customWidth="1"/>
    <col min="1812" max="1812" width="15.140625" style="10" customWidth="1"/>
    <col min="1813" max="1813" width="13.5703125" style="10" customWidth="1"/>
    <col min="1814" max="1814" width="13.140625" style="10" customWidth="1"/>
    <col min="1815" max="1815" width="15.7109375" style="10" customWidth="1"/>
    <col min="1816" max="1816" width="37.5703125" style="10" customWidth="1"/>
    <col min="1817" max="2038" width="11.42578125" style="10"/>
    <col min="2039" max="2039" width="10.5703125" style="10" customWidth="1"/>
    <col min="2040" max="2040" width="4.85546875" style="10" customWidth="1"/>
    <col min="2041" max="2041" width="32.42578125" style="10" customWidth="1"/>
    <col min="2042" max="2042" width="9.85546875" style="10" customWidth="1"/>
    <col min="2043" max="2043" width="10.140625" style="10" customWidth="1"/>
    <col min="2044" max="2044" width="12.28515625" style="10" customWidth="1"/>
    <col min="2045" max="2045" width="15.42578125" style="10" customWidth="1"/>
    <col min="2046" max="2046" width="11.85546875" style="10" customWidth="1"/>
    <col min="2047" max="2047" width="13.28515625" style="10" customWidth="1"/>
    <col min="2048" max="2048" width="15.28515625" style="10" customWidth="1"/>
    <col min="2049" max="2049" width="11.85546875" style="10" customWidth="1"/>
    <col min="2050" max="2050" width="6.140625" style="10" customWidth="1"/>
    <col min="2051" max="2051" width="11.85546875" style="10" customWidth="1"/>
    <col min="2052" max="2052" width="9.42578125" style="10" customWidth="1"/>
    <col min="2053" max="2053" width="14.7109375" style="10" customWidth="1"/>
    <col min="2054" max="2054" width="11.5703125" style="10" customWidth="1"/>
    <col min="2055" max="2055" width="0.42578125" style="10" customWidth="1"/>
    <col min="2056" max="2056" width="10.5703125" style="10" bestFit="1" customWidth="1"/>
    <col min="2057" max="2057" width="12.28515625" style="10" customWidth="1"/>
    <col min="2058" max="2058" width="12.5703125" style="10" customWidth="1"/>
    <col min="2059" max="2059" width="10.5703125" style="10" customWidth="1"/>
    <col min="2060" max="2060" width="10.140625" style="10" customWidth="1"/>
    <col min="2061" max="2061" width="8.42578125" style="10" customWidth="1"/>
    <col min="2062" max="2062" width="18.85546875" style="10" customWidth="1"/>
    <col min="2063" max="2063" width="10.28515625" style="10" customWidth="1"/>
    <col min="2064" max="2064" width="11.42578125" style="10"/>
    <col min="2065" max="2065" width="12.140625" style="10" customWidth="1"/>
    <col min="2066" max="2066" width="10.5703125" style="10" customWidth="1"/>
    <col min="2067" max="2067" width="12.42578125" style="10" customWidth="1"/>
    <col min="2068" max="2068" width="15.140625" style="10" customWidth="1"/>
    <col min="2069" max="2069" width="13.5703125" style="10" customWidth="1"/>
    <col min="2070" max="2070" width="13.140625" style="10" customWidth="1"/>
    <col min="2071" max="2071" width="15.7109375" style="10" customWidth="1"/>
    <col min="2072" max="2072" width="37.5703125" style="10" customWidth="1"/>
    <col min="2073" max="2294" width="11.42578125" style="10"/>
    <col min="2295" max="2295" width="10.5703125" style="10" customWidth="1"/>
    <col min="2296" max="2296" width="4.85546875" style="10" customWidth="1"/>
    <col min="2297" max="2297" width="32.42578125" style="10" customWidth="1"/>
    <col min="2298" max="2298" width="9.85546875" style="10" customWidth="1"/>
    <col min="2299" max="2299" width="10.140625" style="10" customWidth="1"/>
    <col min="2300" max="2300" width="12.28515625" style="10" customWidth="1"/>
    <col min="2301" max="2301" width="15.42578125" style="10" customWidth="1"/>
    <col min="2302" max="2302" width="11.85546875" style="10" customWidth="1"/>
    <col min="2303" max="2303" width="13.28515625" style="10" customWidth="1"/>
    <col min="2304" max="2304" width="15.28515625" style="10" customWidth="1"/>
    <col min="2305" max="2305" width="11.85546875" style="10" customWidth="1"/>
    <col min="2306" max="2306" width="6.140625" style="10" customWidth="1"/>
    <col min="2307" max="2307" width="11.85546875" style="10" customWidth="1"/>
    <col min="2308" max="2308" width="9.42578125" style="10" customWidth="1"/>
    <col min="2309" max="2309" width="14.7109375" style="10" customWidth="1"/>
    <col min="2310" max="2310" width="11.5703125" style="10" customWidth="1"/>
    <col min="2311" max="2311" width="0.42578125" style="10" customWidth="1"/>
    <col min="2312" max="2312" width="10.5703125" style="10" bestFit="1" customWidth="1"/>
    <col min="2313" max="2313" width="12.28515625" style="10" customWidth="1"/>
    <col min="2314" max="2314" width="12.5703125" style="10" customWidth="1"/>
    <col min="2315" max="2315" width="10.5703125" style="10" customWidth="1"/>
    <col min="2316" max="2316" width="10.140625" style="10" customWidth="1"/>
    <col min="2317" max="2317" width="8.42578125" style="10" customWidth="1"/>
    <col min="2318" max="2318" width="18.85546875" style="10" customWidth="1"/>
    <col min="2319" max="2319" width="10.28515625" style="10" customWidth="1"/>
    <col min="2320" max="2320" width="11.42578125" style="10"/>
    <col min="2321" max="2321" width="12.140625" style="10" customWidth="1"/>
    <col min="2322" max="2322" width="10.5703125" style="10" customWidth="1"/>
    <col min="2323" max="2323" width="12.42578125" style="10" customWidth="1"/>
    <col min="2324" max="2324" width="15.140625" style="10" customWidth="1"/>
    <col min="2325" max="2325" width="13.5703125" style="10" customWidth="1"/>
    <col min="2326" max="2326" width="13.140625" style="10" customWidth="1"/>
    <col min="2327" max="2327" width="15.7109375" style="10" customWidth="1"/>
    <col min="2328" max="2328" width="37.5703125" style="10" customWidth="1"/>
    <col min="2329" max="2550" width="11.42578125" style="10"/>
    <col min="2551" max="2551" width="10.5703125" style="10" customWidth="1"/>
    <col min="2552" max="2552" width="4.85546875" style="10" customWidth="1"/>
    <col min="2553" max="2553" width="32.42578125" style="10" customWidth="1"/>
    <col min="2554" max="2554" width="9.85546875" style="10" customWidth="1"/>
    <col min="2555" max="2555" width="10.140625" style="10" customWidth="1"/>
    <col min="2556" max="2556" width="12.28515625" style="10" customWidth="1"/>
    <col min="2557" max="2557" width="15.42578125" style="10" customWidth="1"/>
    <col min="2558" max="2558" width="11.85546875" style="10" customWidth="1"/>
    <col min="2559" max="2559" width="13.28515625" style="10" customWidth="1"/>
    <col min="2560" max="2560" width="15.28515625" style="10" customWidth="1"/>
    <col min="2561" max="2561" width="11.85546875" style="10" customWidth="1"/>
    <col min="2562" max="2562" width="6.140625" style="10" customWidth="1"/>
    <col min="2563" max="2563" width="11.85546875" style="10" customWidth="1"/>
    <col min="2564" max="2564" width="9.42578125" style="10" customWidth="1"/>
    <col min="2565" max="2565" width="14.7109375" style="10" customWidth="1"/>
    <col min="2566" max="2566" width="11.5703125" style="10" customWidth="1"/>
    <col min="2567" max="2567" width="0.42578125" style="10" customWidth="1"/>
    <col min="2568" max="2568" width="10.5703125" style="10" bestFit="1" customWidth="1"/>
    <col min="2569" max="2569" width="12.28515625" style="10" customWidth="1"/>
    <col min="2570" max="2570" width="12.5703125" style="10" customWidth="1"/>
    <col min="2571" max="2571" width="10.5703125" style="10" customWidth="1"/>
    <col min="2572" max="2572" width="10.140625" style="10" customWidth="1"/>
    <col min="2573" max="2573" width="8.42578125" style="10" customWidth="1"/>
    <col min="2574" max="2574" width="18.85546875" style="10" customWidth="1"/>
    <col min="2575" max="2575" width="10.28515625" style="10" customWidth="1"/>
    <col min="2576" max="2576" width="11.42578125" style="10"/>
    <col min="2577" max="2577" width="12.140625" style="10" customWidth="1"/>
    <col min="2578" max="2578" width="10.5703125" style="10" customWidth="1"/>
    <col min="2579" max="2579" width="12.42578125" style="10" customWidth="1"/>
    <col min="2580" max="2580" width="15.140625" style="10" customWidth="1"/>
    <col min="2581" max="2581" width="13.5703125" style="10" customWidth="1"/>
    <col min="2582" max="2582" width="13.140625" style="10" customWidth="1"/>
    <col min="2583" max="2583" width="15.7109375" style="10" customWidth="1"/>
    <col min="2584" max="2584" width="37.5703125" style="10" customWidth="1"/>
    <col min="2585" max="2806" width="11.42578125" style="10"/>
    <col min="2807" max="2807" width="10.5703125" style="10" customWidth="1"/>
    <col min="2808" max="2808" width="4.85546875" style="10" customWidth="1"/>
    <col min="2809" max="2809" width="32.42578125" style="10" customWidth="1"/>
    <col min="2810" max="2810" width="9.85546875" style="10" customWidth="1"/>
    <col min="2811" max="2811" width="10.140625" style="10" customWidth="1"/>
    <col min="2812" max="2812" width="12.28515625" style="10" customWidth="1"/>
    <col min="2813" max="2813" width="15.42578125" style="10" customWidth="1"/>
    <col min="2814" max="2814" width="11.85546875" style="10" customWidth="1"/>
    <col min="2815" max="2815" width="13.28515625" style="10" customWidth="1"/>
    <col min="2816" max="2816" width="15.28515625" style="10" customWidth="1"/>
    <col min="2817" max="2817" width="11.85546875" style="10" customWidth="1"/>
    <col min="2818" max="2818" width="6.140625" style="10" customWidth="1"/>
    <col min="2819" max="2819" width="11.85546875" style="10" customWidth="1"/>
    <col min="2820" max="2820" width="9.42578125" style="10" customWidth="1"/>
    <col min="2821" max="2821" width="14.7109375" style="10" customWidth="1"/>
    <col min="2822" max="2822" width="11.5703125" style="10" customWidth="1"/>
    <col min="2823" max="2823" width="0.42578125" style="10" customWidth="1"/>
    <col min="2824" max="2824" width="10.5703125" style="10" bestFit="1" customWidth="1"/>
    <col min="2825" max="2825" width="12.28515625" style="10" customWidth="1"/>
    <col min="2826" max="2826" width="12.5703125" style="10" customWidth="1"/>
    <col min="2827" max="2827" width="10.5703125" style="10" customWidth="1"/>
    <col min="2828" max="2828" width="10.140625" style="10" customWidth="1"/>
    <col min="2829" max="2829" width="8.42578125" style="10" customWidth="1"/>
    <col min="2830" max="2830" width="18.85546875" style="10" customWidth="1"/>
    <col min="2831" max="2831" width="10.28515625" style="10" customWidth="1"/>
    <col min="2832" max="2832" width="11.42578125" style="10"/>
    <col min="2833" max="2833" width="12.140625" style="10" customWidth="1"/>
    <col min="2834" max="2834" width="10.5703125" style="10" customWidth="1"/>
    <col min="2835" max="2835" width="12.42578125" style="10" customWidth="1"/>
    <col min="2836" max="2836" width="15.140625" style="10" customWidth="1"/>
    <col min="2837" max="2837" width="13.5703125" style="10" customWidth="1"/>
    <col min="2838" max="2838" width="13.140625" style="10" customWidth="1"/>
    <col min="2839" max="2839" width="15.7109375" style="10" customWidth="1"/>
    <col min="2840" max="2840" width="37.5703125" style="10" customWidth="1"/>
    <col min="2841" max="3062" width="11.42578125" style="10"/>
    <col min="3063" max="3063" width="10.5703125" style="10" customWidth="1"/>
    <col min="3064" max="3064" width="4.85546875" style="10" customWidth="1"/>
    <col min="3065" max="3065" width="32.42578125" style="10" customWidth="1"/>
    <col min="3066" max="3066" width="9.85546875" style="10" customWidth="1"/>
    <col min="3067" max="3067" width="10.140625" style="10" customWidth="1"/>
    <col min="3068" max="3068" width="12.28515625" style="10" customWidth="1"/>
    <col min="3069" max="3069" width="15.42578125" style="10" customWidth="1"/>
    <col min="3070" max="3070" width="11.85546875" style="10" customWidth="1"/>
    <col min="3071" max="3071" width="13.28515625" style="10" customWidth="1"/>
    <col min="3072" max="3072" width="15.28515625" style="10" customWidth="1"/>
    <col min="3073" max="3073" width="11.85546875" style="10" customWidth="1"/>
    <col min="3074" max="3074" width="6.140625" style="10" customWidth="1"/>
    <col min="3075" max="3075" width="11.85546875" style="10" customWidth="1"/>
    <col min="3076" max="3076" width="9.42578125" style="10" customWidth="1"/>
    <col min="3077" max="3077" width="14.7109375" style="10" customWidth="1"/>
    <col min="3078" max="3078" width="11.5703125" style="10" customWidth="1"/>
    <col min="3079" max="3079" width="0.42578125" style="10" customWidth="1"/>
    <col min="3080" max="3080" width="10.5703125" style="10" bestFit="1" customWidth="1"/>
    <col min="3081" max="3081" width="12.28515625" style="10" customWidth="1"/>
    <col min="3082" max="3082" width="12.5703125" style="10" customWidth="1"/>
    <col min="3083" max="3083" width="10.5703125" style="10" customWidth="1"/>
    <col min="3084" max="3084" width="10.140625" style="10" customWidth="1"/>
    <col min="3085" max="3085" width="8.42578125" style="10" customWidth="1"/>
    <col min="3086" max="3086" width="18.85546875" style="10" customWidth="1"/>
    <col min="3087" max="3087" width="10.28515625" style="10" customWidth="1"/>
    <col min="3088" max="3088" width="11.42578125" style="10"/>
    <col min="3089" max="3089" width="12.140625" style="10" customWidth="1"/>
    <col min="3090" max="3090" width="10.5703125" style="10" customWidth="1"/>
    <col min="3091" max="3091" width="12.42578125" style="10" customWidth="1"/>
    <col min="3092" max="3092" width="15.140625" style="10" customWidth="1"/>
    <col min="3093" max="3093" width="13.5703125" style="10" customWidth="1"/>
    <col min="3094" max="3094" width="13.140625" style="10" customWidth="1"/>
    <col min="3095" max="3095" width="15.7109375" style="10" customWidth="1"/>
    <col min="3096" max="3096" width="37.5703125" style="10" customWidth="1"/>
    <col min="3097" max="3318" width="11.42578125" style="10"/>
    <col min="3319" max="3319" width="10.5703125" style="10" customWidth="1"/>
    <col min="3320" max="3320" width="4.85546875" style="10" customWidth="1"/>
    <col min="3321" max="3321" width="32.42578125" style="10" customWidth="1"/>
    <col min="3322" max="3322" width="9.85546875" style="10" customWidth="1"/>
    <col min="3323" max="3323" width="10.140625" style="10" customWidth="1"/>
    <col min="3324" max="3324" width="12.28515625" style="10" customWidth="1"/>
    <col min="3325" max="3325" width="15.42578125" style="10" customWidth="1"/>
    <col min="3326" max="3326" width="11.85546875" style="10" customWidth="1"/>
    <col min="3327" max="3327" width="13.28515625" style="10" customWidth="1"/>
    <col min="3328" max="3328" width="15.28515625" style="10" customWidth="1"/>
    <col min="3329" max="3329" width="11.85546875" style="10" customWidth="1"/>
    <col min="3330" max="3330" width="6.140625" style="10" customWidth="1"/>
    <col min="3331" max="3331" width="11.85546875" style="10" customWidth="1"/>
    <col min="3332" max="3332" width="9.42578125" style="10" customWidth="1"/>
    <col min="3333" max="3333" width="14.7109375" style="10" customWidth="1"/>
    <col min="3334" max="3334" width="11.5703125" style="10" customWidth="1"/>
    <col min="3335" max="3335" width="0.42578125" style="10" customWidth="1"/>
    <col min="3336" max="3336" width="10.5703125" style="10" bestFit="1" customWidth="1"/>
    <col min="3337" max="3337" width="12.28515625" style="10" customWidth="1"/>
    <col min="3338" max="3338" width="12.5703125" style="10" customWidth="1"/>
    <col min="3339" max="3339" width="10.5703125" style="10" customWidth="1"/>
    <col min="3340" max="3340" width="10.140625" style="10" customWidth="1"/>
    <col min="3341" max="3341" width="8.42578125" style="10" customWidth="1"/>
    <col min="3342" max="3342" width="18.85546875" style="10" customWidth="1"/>
    <col min="3343" max="3343" width="10.28515625" style="10" customWidth="1"/>
    <col min="3344" max="3344" width="11.42578125" style="10"/>
    <col min="3345" max="3345" width="12.140625" style="10" customWidth="1"/>
    <col min="3346" max="3346" width="10.5703125" style="10" customWidth="1"/>
    <col min="3347" max="3347" width="12.42578125" style="10" customWidth="1"/>
    <col min="3348" max="3348" width="15.140625" style="10" customWidth="1"/>
    <col min="3349" max="3349" width="13.5703125" style="10" customWidth="1"/>
    <col min="3350" max="3350" width="13.140625" style="10" customWidth="1"/>
    <col min="3351" max="3351" width="15.7109375" style="10" customWidth="1"/>
    <col min="3352" max="3352" width="37.5703125" style="10" customWidth="1"/>
    <col min="3353" max="3574" width="11.42578125" style="10"/>
    <col min="3575" max="3575" width="10.5703125" style="10" customWidth="1"/>
    <col min="3576" max="3576" width="4.85546875" style="10" customWidth="1"/>
    <col min="3577" max="3577" width="32.42578125" style="10" customWidth="1"/>
    <col min="3578" max="3578" width="9.85546875" style="10" customWidth="1"/>
    <col min="3579" max="3579" width="10.140625" style="10" customWidth="1"/>
    <col min="3580" max="3580" width="12.28515625" style="10" customWidth="1"/>
    <col min="3581" max="3581" width="15.42578125" style="10" customWidth="1"/>
    <col min="3582" max="3582" width="11.85546875" style="10" customWidth="1"/>
    <col min="3583" max="3583" width="13.28515625" style="10" customWidth="1"/>
    <col min="3584" max="3584" width="15.28515625" style="10" customWidth="1"/>
    <col min="3585" max="3585" width="11.85546875" style="10" customWidth="1"/>
    <col min="3586" max="3586" width="6.140625" style="10" customWidth="1"/>
    <col min="3587" max="3587" width="11.85546875" style="10" customWidth="1"/>
    <col min="3588" max="3588" width="9.42578125" style="10" customWidth="1"/>
    <col min="3589" max="3589" width="14.7109375" style="10" customWidth="1"/>
    <col min="3590" max="3590" width="11.5703125" style="10" customWidth="1"/>
    <col min="3591" max="3591" width="0.42578125" style="10" customWidth="1"/>
    <col min="3592" max="3592" width="10.5703125" style="10" bestFit="1" customWidth="1"/>
    <col min="3593" max="3593" width="12.28515625" style="10" customWidth="1"/>
    <col min="3594" max="3594" width="12.5703125" style="10" customWidth="1"/>
    <col min="3595" max="3595" width="10.5703125" style="10" customWidth="1"/>
    <col min="3596" max="3596" width="10.140625" style="10" customWidth="1"/>
    <col min="3597" max="3597" width="8.42578125" style="10" customWidth="1"/>
    <col min="3598" max="3598" width="18.85546875" style="10" customWidth="1"/>
    <col min="3599" max="3599" width="10.28515625" style="10" customWidth="1"/>
    <col min="3600" max="3600" width="11.42578125" style="10"/>
    <col min="3601" max="3601" width="12.140625" style="10" customWidth="1"/>
    <col min="3602" max="3602" width="10.5703125" style="10" customWidth="1"/>
    <col min="3603" max="3603" width="12.42578125" style="10" customWidth="1"/>
    <col min="3604" max="3604" width="15.140625" style="10" customWidth="1"/>
    <col min="3605" max="3605" width="13.5703125" style="10" customWidth="1"/>
    <col min="3606" max="3606" width="13.140625" style="10" customWidth="1"/>
    <col min="3607" max="3607" width="15.7109375" style="10" customWidth="1"/>
    <col min="3608" max="3608" width="37.5703125" style="10" customWidth="1"/>
    <col min="3609" max="3830" width="11.42578125" style="10"/>
    <col min="3831" max="3831" width="10.5703125" style="10" customWidth="1"/>
    <col min="3832" max="3832" width="4.85546875" style="10" customWidth="1"/>
    <col min="3833" max="3833" width="32.42578125" style="10" customWidth="1"/>
    <col min="3834" max="3834" width="9.85546875" style="10" customWidth="1"/>
    <col min="3835" max="3835" width="10.140625" style="10" customWidth="1"/>
    <col min="3836" max="3836" width="12.28515625" style="10" customWidth="1"/>
    <col min="3837" max="3837" width="15.42578125" style="10" customWidth="1"/>
    <col min="3838" max="3838" width="11.85546875" style="10" customWidth="1"/>
    <col min="3839" max="3839" width="13.28515625" style="10" customWidth="1"/>
    <col min="3840" max="3840" width="15.28515625" style="10" customWidth="1"/>
    <col min="3841" max="3841" width="11.85546875" style="10" customWidth="1"/>
    <col min="3842" max="3842" width="6.140625" style="10" customWidth="1"/>
    <col min="3843" max="3843" width="11.85546875" style="10" customWidth="1"/>
    <col min="3844" max="3844" width="9.42578125" style="10" customWidth="1"/>
    <col min="3845" max="3845" width="14.7109375" style="10" customWidth="1"/>
    <col min="3846" max="3846" width="11.5703125" style="10" customWidth="1"/>
    <col min="3847" max="3847" width="0.42578125" style="10" customWidth="1"/>
    <col min="3848" max="3848" width="10.5703125" style="10" bestFit="1" customWidth="1"/>
    <col min="3849" max="3849" width="12.28515625" style="10" customWidth="1"/>
    <col min="3850" max="3850" width="12.5703125" style="10" customWidth="1"/>
    <col min="3851" max="3851" width="10.5703125" style="10" customWidth="1"/>
    <col min="3852" max="3852" width="10.140625" style="10" customWidth="1"/>
    <col min="3853" max="3853" width="8.42578125" style="10" customWidth="1"/>
    <col min="3854" max="3854" width="18.85546875" style="10" customWidth="1"/>
    <col min="3855" max="3855" width="10.28515625" style="10" customWidth="1"/>
    <col min="3856" max="3856" width="11.42578125" style="10"/>
    <col min="3857" max="3857" width="12.140625" style="10" customWidth="1"/>
    <col min="3858" max="3858" width="10.5703125" style="10" customWidth="1"/>
    <col min="3859" max="3859" width="12.42578125" style="10" customWidth="1"/>
    <col min="3860" max="3860" width="15.140625" style="10" customWidth="1"/>
    <col min="3861" max="3861" width="13.5703125" style="10" customWidth="1"/>
    <col min="3862" max="3862" width="13.140625" style="10" customWidth="1"/>
    <col min="3863" max="3863" width="15.7109375" style="10" customWidth="1"/>
    <col min="3864" max="3864" width="37.5703125" style="10" customWidth="1"/>
    <col min="3865" max="4086" width="11.42578125" style="10"/>
    <col min="4087" max="4087" width="10.5703125" style="10" customWidth="1"/>
    <col min="4088" max="4088" width="4.85546875" style="10" customWidth="1"/>
    <col min="4089" max="4089" width="32.42578125" style="10" customWidth="1"/>
    <col min="4090" max="4090" width="9.85546875" style="10" customWidth="1"/>
    <col min="4091" max="4091" width="10.140625" style="10" customWidth="1"/>
    <col min="4092" max="4092" width="12.28515625" style="10" customWidth="1"/>
    <col min="4093" max="4093" width="15.42578125" style="10" customWidth="1"/>
    <col min="4094" max="4094" width="11.85546875" style="10" customWidth="1"/>
    <col min="4095" max="4095" width="13.28515625" style="10" customWidth="1"/>
    <col min="4096" max="4096" width="15.28515625" style="10" customWidth="1"/>
    <col min="4097" max="4097" width="11.85546875" style="10" customWidth="1"/>
    <col min="4098" max="4098" width="6.140625" style="10" customWidth="1"/>
    <col min="4099" max="4099" width="11.85546875" style="10" customWidth="1"/>
    <col min="4100" max="4100" width="9.42578125" style="10" customWidth="1"/>
    <col min="4101" max="4101" width="14.7109375" style="10" customWidth="1"/>
    <col min="4102" max="4102" width="11.5703125" style="10" customWidth="1"/>
    <col min="4103" max="4103" width="0.42578125" style="10" customWidth="1"/>
    <col min="4104" max="4104" width="10.5703125" style="10" bestFit="1" customWidth="1"/>
    <col min="4105" max="4105" width="12.28515625" style="10" customWidth="1"/>
    <col min="4106" max="4106" width="12.5703125" style="10" customWidth="1"/>
    <col min="4107" max="4107" width="10.5703125" style="10" customWidth="1"/>
    <col min="4108" max="4108" width="10.140625" style="10" customWidth="1"/>
    <col min="4109" max="4109" width="8.42578125" style="10" customWidth="1"/>
    <col min="4110" max="4110" width="18.85546875" style="10" customWidth="1"/>
    <col min="4111" max="4111" width="10.28515625" style="10" customWidth="1"/>
    <col min="4112" max="4112" width="11.42578125" style="10"/>
    <col min="4113" max="4113" width="12.140625" style="10" customWidth="1"/>
    <col min="4114" max="4114" width="10.5703125" style="10" customWidth="1"/>
    <col min="4115" max="4115" width="12.42578125" style="10" customWidth="1"/>
    <col min="4116" max="4116" width="15.140625" style="10" customWidth="1"/>
    <col min="4117" max="4117" width="13.5703125" style="10" customWidth="1"/>
    <col min="4118" max="4118" width="13.140625" style="10" customWidth="1"/>
    <col min="4119" max="4119" width="15.7109375" style="10" customWidth="1"/>
    <col min="4120" max="4120" width="37.5703125" style="10" customWidth="1"/>
    <col min="4121" max="4342" width="11.42578125" style="10"/>
    <col min="4343" max="4343" width="10.5703125" style="10" customWidth="1"/>
    <col min="4344" max="4344" width="4.85546875" style="10" customWidth="1"/>
    <col min="4345" max="4345" width="32.42578125" style="10" customWidth="1"/>
    <col min="4346" max="4346" width="9.85546875" style="10" customWidth="1"/>
    <col min="4347" max="4347" width="10.140625" style="10" customWidth="1"/>
    <col min="4348" max="4348" width="12.28515625" style="10" customWidth="1"/>
    <col min="4349" max="4349" width="15.42578125" style="10" customWidth="1"/>
    <col min="4350" max="4350" width="11.85546875" style="10" customWidth="1"/>
    <col min="4351" max="4351" width="13.28515625" style="10" customWidth="1"/>
    <col min="4352" max="4352" width="15.28515625" style="10" customWidth="1"/>
    <col min="4353" max="4353" width="11.85546875" style="10" customWidth="1"/>
    <col min="4354" max="4354" width="6.140625" style="10" customWidth="1"/>
    <col min="4355" max="4355" width="11.85546875" style="10" customWidth="1"/>
    <col min="4356" max="4356" width="9.42578125" style="10" customWidth="1"/>
    <col min="4357" max="4357" width="14.7109375" style="10" customWidth="1"/>
    <col min="4358" max="4358" width="11.5703125" style="10" customWidth="1"/>
    <col min="4359" max="4359" width="0.42578125" style="10" customWidth="1"/>
    <col min="4360" max="4360" width="10.5703125" style="10" bestFit="1" customWidth="1"/>
    <col min="4361" max="4361" width="12.28515625" style="10" customWidth="1"/>
    <col min="4362" max="4362" width="12.5703125" style="10" customWidth="1"/>
    <col min="4363" max="4363" width="10.5703125" style="10" customWidth="1"/>
    <col min="4364" max="4364" width="10.140625" style="10" customWidth="1"/>
    <col min="4365" max="4365" width="8.42578125" style="10" customWidth="1"/>
    <col min="4366" max="4366" width="18.85546875" style="10" customWidth="1"/>
    <col min="4367" max="4367" width="10.28515625" style="10" customWidth="1"/>
    <col min="4368" max="4368" width="11.42578125" style="10"/>
    <col min="4369" max="4369" width="12.140625" style="10" customWidth="1"/>
    <col min="4370" max="4370" width="10.5703125" style="10" customWidth="1"/>
    <col min="4371" max="4371" width="12.42578125" style="10" customWidth="1"/>
    <col min="4372" max="4372" width="15.140625" style="10" customWidth="1"/>
    <col min="4373" max="4373" width="13.5703125" style="10" customWidth="1"/>
    <col min="4374" max="4374" width="13.140625" style="10" customWidth="1"/>
    <col min="4375" max="4375" width="15.7109375" style="10" customWidth="1"/>
    <col min="4376" max="4376" width="37.5703125" style="10" customWidth="1"/>
    <col min="4377" max="4598" width="11.42578125" style="10"/>
    <col min="4599" max="4599" width="10.5703125" style="10" customWidth="1"/>
    <col min="4600" max="4600" width="4.85546875" style="10" customWidth="1"/>
    <col min="4601" max="4601" width="32.42578125" style="10" customWidth="1"/>
    <col min="4602" max="4602" width="9.85546875" style="10" customWidth="1"/>
    <col min="4603" max="4603" width="10.140625" style="10" customWidth="1"/>
    <col min="4604" max="4604" width="12.28515625" style="10" customWidth="1"/>
    <col min="4605" max="4605" width="15.42578125" style="10" customWidth="1"/>
    <col min="4606" max="4606" width="11.85546875" style="10" customWidth="1"/>
    <col min="4607" max="4607" width="13.28515625" style="10" customWidth="1"/>
    <col min="4608" max="4608" width="15.28515625" style="10" customWidth="1"/>
    <col min="4609" max="4609" width="11.85546875" style="10" customWidth="1"/>
    <col min="4610" max="4610" width="6.140625" style="10" customWidth="1"/>
    <col min="4611" max="4611" width="11.85546875" style="10" customWidth="1"/>
    <col min="4612" max="4612" width="9.42578125" style="10" customWidth="1"/>
    <col min="4613" max="4613" width="14.7109375" style="10" customWidth="1"/>
    <col min="4614" max="4614" width="11.5703125" style="10" customWidth="1"/>
    <col min="4615" max="4615" width="0.42578125" style="10" customWidth="1"/>
    <col min="4616" max="4616" width="10.5703125" style="10" bestFit="1" customWidth="1"/>
    <col min="4617" max="4617" width="12.28515625" style="10" customWidth="1"/>
    <col min="4618" max="4618" width="12.5703125" style="10" customWidth="1"/>
    <col min="4619" max="4619" width="10.5703125" style="10" customWidth="1"/>
    <col min="4620" max="4620" width="10.140625" style="10" customWidth="1"/>
    <col min="4621" max="4621" width="8.42578125" style="10" customWidth="1"/>
    <col min="4622" max="4622" width="18.85546875" style="10" customWidth="1"/>
    <col min="4623" max="4623" width="10.28515625" style="10" customWidth="1"/>
    <col min="4624" max="4624" width="11.42578125" style="10"/>
    <col min="4625" max="4625" width="12.140625" style="10" customWidth="1"/>
    <col min="4626" max="4626" width="10.5703125" style="10" customWidth="1"/>
    <col min="4627" max="4627" width="12.42578125" style="10" customWidth="1"/>
    <col min="4628" max="4628" width="15.140625" style="10" customWidth="1"/>
    <col min="4629" max="4629" width="13.5703125" style="10" customWidth="1"/>
    <col min="4630" max="4630" width="13.140625" style="10" customWidth="1"/>
    <col min="4631" max="4631" width="15.7109375" style="10" customWidth="1"/>
    <col min="4632" max="4632" width="37.5703125" style="10" customWidth="1"/>
    <col min="4633" max="4854" width="11.42578125" style="10"/>
    <col min="4855" max="4855" width="10.5703125" style="10" customWidth="1"/>
    <col min="4856" max="4856" width="4.85546875" style="10" customWidth="1"/>
    <col min="4857" max="4857" width="32.42578125" style="10" customWidth="1"/>
    <col min="4858" max="4858" width="9.85546875" style="10" customWidth="1"/>
    <col min="4859" max="4859" width="10.140625" style="10" customWidth="1"/>
    <col min="4860" max="4860" width="12.28515625" style="10" customWidth="1"/>
    <col min="4861" max="4861" width="15.42578125" style="10" customWidth="1"/>
    <col min="4862" max="4862" width="11.85546875" style="10" customWidth="1"/>
    <col min="4863" max="4863" width="13.28515625" style="10" customWidth="1"/>
    <col min="4864" max="4864" width="15.28515625" style="10" customWidth="1"/>
    <col min="4865" max="4865" width="11.85546875" style="10" customWidth="1"/>
    <col min="4866" max="4866" width="6.140625" style="10" customWidth="1"/>
    <col min="4867" max="4867" width="11.85546875" style="10" customWidth="1"/>
    <col min="4868" max="4868" width="9.42578125" style="10" customWidth="1"/>
    <col min="4869" max="4869" width="14.7109375" style="10" customWidth="1"/>
    <col min="4870" max="4870" width="11.5703125" style="10" customWidth="1"/>
    <col min="4871" max="4871" width="0.42578125" style="10" customWidth="1"/>
    <col min="4872" max="4872" width="10.5703125" style="10" bestFit="1" customWidth="1"/>
    <col min="4873" max="4873" width="12.28515625" style="10" customWidth="1"/>
    <col min="4874" max="4874" width="12.5703125" style="10" customWidth="1"/>
    <col min="4875" max="4875" width="10.5703125" style="10" customWidth="1"/>
    <col min="4876" max="4876" width="10.140625" style="10" customWidth="1"/>
    <col min="4877" max="4877" width="8.42578125" style="10" customWidth="1"/>
    <col min="4878" max="4878" width="18.85546875" style="10" customWidth="1"/>
    <col min="4879" max="4879" width="10.28515625" style="10" customWidth="1"/>
    <col min="4880" max="4880" width="11.42578125" style="10"/>
    <col min="4881" max="4881" width="12.140625" style="10" customWidth="1"/>
    <col min="4882" max="4882" width="10.5703125" style="10" customWidth="1"/>
    <col min="4883" max="4883" width="12.42578125" style="10" customWidth="1"/>
    <col min="4884" max="4884" width="15.140625" style="10" customWidth="1"/>
    <col min="4885" max="4885" width="13.5703125" style="10" customWidth="1"/>
    <col min="4886" max="4886" width="13.140625" style="10" customWidth="1"/>
    <col min="4887" max="4887" width="15.7109375" style="10" customWidth="1"/>
    <col min="4888" max="4888" width="37.5703125" style="10" customWidth="1"/>
    <col min="4889" max="5110" width="11.42578125" style="10"/>
    <col min="5111" max="5111" width="10.5703125" style="10" customWidth="1"/>
    <col min="5112" max="5112" width="4.85546875" style="10" customWidth="1"/>
    <col min="5113" max="5113" width="32.42578125" style="10" customWidth="1"/>
    <col min="5114" max="5114" width="9.85546875" style="10" customWidth="1"/>
    <col min="5115" max="5115" width="10.140625" style="10" customWidth="1"/>
    <col min="5116" max="5116" width="12.28515625" style="10" customWidth="1"/>
    <col min="5117" max="5117" width="15.42578125" style="10" customWidth="1"/>
    <col min="5118" max="5118" width="11.85546875" style="10" customWidth="1"/>
    <col min="5119" max="5119" width="13.28515625" style="10" customWidth="1"/>
    <col min="5120" max="5120" width="15.28515625" style="10" customWidth="1"/>
    <col min="5121" max="5121" width="11.85546875" style="10" customWidth="1"/>
    <col min="5122" max="5122" width="6.140625" style="10" customWidth="1"/>
    <col min="5123" max="5123" width="11.85546875" style="10" customWidth="1"/>
    <col min="5124" max="5124" width="9.42578125" style="10" customWidth="1"/>
    <col min="5125" max="5125" width="14.7109375" style="10" customWidth="1"/>
    <col min="5126" max="5126" width="11.5703125" style="10" customWidth="1"/>
    <col min="5127" max="5127" width="0.42578125" style="10" customWidth="1"/>
    <col min="5128" max="5128" width="10.5703125" style="10" bestFit="1" customWidth="1"/>
    <col min="5129" max="5129" width="12.28515625" style="10" customWidth="1"/>
    <col min="5130" max="5130" width="12.5703125" style="10" customWidth="1"/>
    <col min="5131" max="5131" width="10.5703125" style="10" customWidth="1"/>
    <col min="5132" max="5132" width="10.140625" style="10" customWidth="1"/>
    <col min="5133" max="5133" width="8.42578125" style="10" customWidth="1"/>
    <col min="5134" max="5134" width="18.85546875" style="10" customWidth="1"/>
    <col min="5135" max="5135" width="10.28515625" style="10" customWidth="1"/>
    <col min="5136" max="5136" width="11.42578125" style="10"/>
    <col min="5137" max="5137" width="12.140625" style="10" customWidth="1"/>
    <col min="5138" max="5138" width="10.5703125" style="10" customWidth="1"/>
    <col min="5139" max="5139" width="12.42578125" style="10" customWidth="1"/>
    <col min="5140" max="5140" width="15.140625" style="10" customWidth="1"/>
    <col min="5141" max="5141" width="13.5703125" style="10" customWidth="1"/>
    <col min="5142" max="5142" width="13.140625" style="10" customWidth="1"/>
    <col min="5143" max="5143" width="15.7109375" style="10" customWidth="1"/>
    <col min="5144" max="5144" width="37.5703125" style="10" customWidth="1"/>
    <col min="5145" max="5366" width="11.42578125" style="10"/>
    <col min="5367" max="5367" width="10.5703125" style="10" customWidth="1"/>
    <col min="5368" max="5368" width="4.85546875" style="10" customWidth="1"/>
    <col min="5369" max="5369" width="32.42578125" style="10" customWidth="1"/>
    <col min="5370" max="5370" width="9.85546875" style="10" customWidth="1"/>
    <col min="5371" max="5371" width="10.140625" style="10" customWidth="1"/>
    <col min="5372" max="5372" width="12.28515625" style="10" customWidth="1"/>
    <col min="5373" max="5373" width="15.42578125" style="10" customWidth="1"/>
    <col min="5374" max="5374" width="11.85546875" style="10" customWidth="1"/>
    <col min="5375" max="5375" width="13.28515625" style="10" customWidth="1"/>
    <col min="5376" max="5376" width="15.28515625" style="10" customWidth="1"/>
    <col min="5377" max="5377" width="11.85546875" style="10" customWidth="1"/>
    <col min="5378" max="5378" width="6.140625" style="10" customWidth="1"/>
    <col min="5379" max="5379" width="11.85546875" style="10" customWidth="1"/>
    <col min="5380" max="5380" width="9.42578125" style="10" customWidth="1"/>
    <col min="5381" max="5381" width="14.7109375" style="10" customWidth="1"/>
    <col min="5382" max="5382" width="11.5703125" style="10" customWidth="1"/>
    <col min="5383" max="5383" width="0.42578125" style="10" customWidth="1"/>
    <col min="5384" max="5384" width="10.5703125" style="10" bestFit="1" customWidth="1"/>
    <col min="5385" max="5385" width="12.28515625" style="10" customWidth="1"/>
    <col min="5386" max="5386" width="12.5703125" style="10" customWidth="1"/>
    <col min="5387" max="5387" width="10.5703125" style="10" customWidth="1"/>
    <col min="5388" max="5388" width="10.140625" style="10" customWidth="1"/>
    <col min="5389" max="5389" width="8.42578125" style="10" customWidth="1"/>
    <col min="5390" max="5390" width="18.85546875" style="10" customWidth="1"/>
    <col min="5391" max="5391" width="10.28515625" style="10" customWidth="1"/>
    <col min="5392" max="5392" width="11.42578125" style="10"/>
    <col min="5393" max="5393" width="12.140625" style="10" customWidth="1"/>
    <col min="5394" max="5394" width="10.5703125" style="10" customWidth="1"/>
    <col min="5395" max="5395" width="12.42578125" style="10" customWidth="1"/>
    <col min="5396" max="5396" width="15.140625" style="10" customWidth="1"/>
    <col min="5397" max="5397" width="13.5703125" style="10" customWidth="1"/>
    <col min="5398" max="5398" width="13.140625" style="10" customWidth="1"/>
    <col min="5399" max="5399" width="15.7109375" style="10" customWidth="1"/>
    <col min="5400" max="5400" width="37.5703125" style="10" customWidth="1"/>
    <col min="5401" max="5622" width="11.42578125" style="10"/>
    <col min="5623" max="5623" width="10.5703125" style="10" customWidth="1"/>
    <col min="5624" max="5624" width="4.85546875" style="10" customWidth="1"/>
    <col min="5625" max="5625" width="32.42578125" style="10" customWidth="1"/>
    <col min="5626" max="5626" width="9.85546875" style="10" customWidth="1"/>
    <col min="5627" max="5627" width="10.140625" style="10" customWidth="1"/>
    <col min="5628" max="5628" width="12.28515625" style="10" customWidth="1"/>
    <col min="5629" max="5629" width="15.42578125" style="10" customWidth="1"/>
    <col min="5630" max="5630" width="11.85546875" style="10" customWidth="1"/>
    <col min="5631" max="5631" width="13.28515625" style="10" customWidth="1"/>
    <col min="5632" max="5632" width="15.28515625" style="10" customWidth="1"/>
    <col min="5633" max="5633" width="11.85546875" style="10" customWidth="1"/>
    <col min="5634" max="5634" width="6.140625" style="10" customWidth="1"/>
    <col min="5635" max="5635" width="11.85546875" style="10" customWidth="1"/>
    <col min="5636" max="5636" width="9.42578125" style="10" customWidth="1"/>
    <col min="5637" max="5637" width="14.7109375" style="10" customWidth="1"/>
    <col min="5638" max="5638" width="11.5703125" style="10" customWidth="1"/>
    <col min="5639" max="5639" width="0.42578125" style="10" customWidth="1"/>
    <col min="5640" max="5640" width="10.5703125" style="10" bestFit="1" customWidth="1"/>
    <col min="5641" max="5641" width="12.28515625" style="10" customWidth="1"/>
    <col min="5642" max="5642" width="12.5703125" style="10" customWidth="1"/>
    <col min="5643" max="5643" width="10.5703125" style="10" customWidth="1"/>
    <col min="5644" max="5644" width="10.140625" style="10" customWidth="1"/>
    <col min="5645" max="5645" width="8.42578125" style="10" customWidth="1"/>
    <col min="5646" max="5646" width="18.85546875" style="10" customWidth="1"/>
    <col min="5647" max="5647" width="10.28515625" style="10" customWidth="1"/>
    <col min="5648" max="5648" width="11.42578125" style="10"/>
    <col min="5649" max="5649" width="12.140625" style="10" customWidth="1"/>
    <col min="5650" max="5650" width="10.5703125" style="10" customWidth="1"/>
    <col min="5651" max="5651" width="12.42578125" style="10" customWidth="1"/>
    <col min="5652" max="5652" width="15.140625" style="10" customWidth="1"/>
    <col min="5653" max="5653" width="13.5703125" style="10" customWidth="1"/>
    <col min="5654" max="5654" width="13.140625" style="10" customWidth="1"/>
    <col min="5655" max="5655" width="15.7109375" style="10" customWidth="1"/>
    <col min="5656" max="5656" width="37.5703125" style="10" customWidth="1"/>
    <col min="5657" max="5878" width="11.42578125" style="10"/>
    <col min="5879" max="5879" width="10.5703125" style="10" customWidth="1"/>
    <col min="5880" max="5880" width="4.85546875" style="10" customWidth="1"/>
    <col min="5881" max="5881" width="32.42578125" style="10" customWidth="1"/>
    <col min="5882" max="5882" width="9.85546875" style="10" customWidth="1"/>
    <col min="5883" max="5883" width="10.140625" style="10" customWidth="1"/>
    <col min="5884" max="5884" width="12.28515625" style="10" customWidth="1"/>
    <col min="5885" max="5885" width="15.42578125" style="10" customWidth="1"/>
    <col min="5886" max="5886" width="11.85546875" style="10" customWidth="1"/>
    <col min="5887" max="5887" width="13.28515625" style="10" customWidth="1"/>
    <col min="5888" max="5888" width="15.28515625" style="10" customWidth="1"/>
    <col min="5889" max="5889" width="11.85546875" style="10" customWidth="1"/>
    <col min="5890" max="5890" width="6.140625" style="10" customWidth="1"/>
    <col min="5891" max="5891" width="11.85546875" style="10" customWidth="1"/>
    <col min="5892" max="5892" width="9.42578125" style="10" customWidth="1"/>
    <col min="5893" max="5893" width="14.7109375" style="10" customWidth="1"/>
    <col min="5894" max="5894" width="11.5703125" style="10" customWidth="1"/>
    <col min="5895" max="5895" width="0.42578125" style="10" customWidth="1"/>
    <col min="5896" max="5896" width="10.5703125" style="10" bestFit="1" customWidth="1"/>
    <col min="5897" max="5897" width="12.28515625" style="10" customWidth="1"/>
    <col min="5898" max="5898" width="12.5703125" style="10" customWidth="1"/>
    <col min="5899" max="5899" width="10.5703125" style="10" customWidth="1"/>
    <col min="5900" max="5900" width="10.140625" style="10" customWidth="1"/>
    <col min="5901" max="5901" width="8.42578125" style="10" customWidth="1"/>
    <col min="5902" max="5902" width="18.85546875" style="10" customWidth="1"/>
    <col min="5903" max="5903" width="10.28515625" style="10" customWidth="1"/>
    <col min="5904" max="5904" width="11.42578125" style="10"/>
    <col min="5905" max="5905" width="12.140625" style="10" customWidth="1"/>
    <col min="5906" max="5906" width="10.5703125" style="10" customWidth="1"/>
    <col min="5907" max="5907" width="12.42578125" style="10" customWidth="1"/>
    <col min="5908" max="5908" width="15.140625" style="10" customWidth="1"/>
    <col min="5909" max="5909" width="13.5703125" style="10" customWidth="1"/>
    <col min="5910" max="5910" width="13.140625" style="10" customWidth="1"/>
    <col min="5911" max="5911" width="15.7109375" style="10" customWidth="1"/>
    <col min="5912" max="5912" width="37.5703125" style="10" customWidth="1"/>
    <col min="5913" max="6134" width="11.42578125" style="10"/>
    <col min="6135" max="6135" width="10.5703125" style="10" customWidth="1"/>
    <col min="6136" max="6136" width="4.85546875" style="10" customWidth="1"/>
    <col min="6137" max="6137" width="32.42578125" style="10" customWidth="1"/>
    <col min="6138" max="6138" width="9.85546875" style="10" customWidth="1"/>
    <col min="6139" max="6139" width="10.140625" style="10" customWidth="1"/>
    <col min="6140" max="6140" width="12.28515625" style="10" customWidth="1"/>
    <col min="6141" max="6141" width="15.42578125" style="10" customWidth="1"/>
    <col min="6142" max="6142" width="11.85546875" style="10" customWidth="1"/>
    <col min="6143" max="6143" width="13.28515625" style="10" customWidth="1"/>
    <col min="6144" max="6144" width="15.28515625" style="10" customWidth="1"/>
    <col min="6145" max="6145" width="11.85546875" style="10" customWidth="1"/>
    <col min="6146" max="6146" width="6.140625" style="10" customWidth="1"/>
    <col min="6147" max="6147" width="11.85546875" style="10" customWidth="1"/>
    <col min="6148" max="6148" width="9.42578125" style="10" customWidth="1"/>
    <col min="6149" max="6149" width="14.7109375" style="10" customWidth="1"/>
    <col min="6150" max="6150" width="11.5703125" style="10" customWidth="1"/>
    <col min="6151" max="6151" width="0.42578125" style="10" customWidth="1"/>
    <col min="6152" max="6152" width="10.5703125" style="10" bestFit="1" customWidth="1"/>
    <col min="6153" max="6153" width="12.28515625" style="10" customWidth="1"/>
    <col min="6154" max="6154" width="12.5703125" style="10" customWidth="1"/>
    <col min="6155" max="6155" width="10.5703125" style="10" customWidth="1"/>
    <col min="6156" max="6156" width="10.140625" style="10" customWidth="1"/>
    <col min="6157" max="6157" width="8.42578125" style="10" customWidth="1"/>
    <col min="6158" max="6158" width="18.85546875" style="10" customWidth="1"/>
    <col min="6159" max="6159" width="10.28515625" style="10" customWidth="1"/>
    <col min="6160" max="6160" width="11.42578125" style="10"/>
    <col min="6161" max="6161" width="12.140625" style="10" customWidth="1"/>
    <col min="6162" max="6162" width="10.5703125" style="10" customWidth="1"/>
    <col min="6163" max="6163" width="12.42578125" style="10" customWidth="1"/>
    <col min="6164" max="6164" width="15.140625" style="10" customWidth="1"/>
    <col min="6165" max="6165" width="13.5703125" style="10" customWidth="1"/>
    <col min="6166" max="6166" width="13.140625" style="10" customWidth="1"/>
    <col min="6167" max="6167" width="15.7109375" style="10" customWidth="1"/>
    <col min="6168" max="6168" width="37.5703125" style="10" customWidth="1"/>
    <col min="6169" max="6390" width="11.42578125" style="10"/>
    <col min="6391" max="6391" width="10.5703125" style="10" customWidth="1"/>
    <col min="6392" max="6392" width="4.85546875" style="10" customWidth="1"/>
    <col min="6393" max="6393" width="32.42578125" style="10" customWidth="1"/>
    <col min="6394" max="6394" width="9.85546875" style="10" customWidth="1"/>
    <col min="6395" max="6395" width="10.140625" style="10" customWidth="1"/>
    <col min="6396" max="6396" width="12.28515625" style="10" customWidth="1"/>
    <col min="6397" max="6397" width="15.42578125" style="10" customWidth="1"/>
    <col min="6398" max="6398" width="11.85546875" style="10" customWidth="1"/>
    <col min="6399" max="6399" width="13.28515625" style="10" customWidth="1"/>
    <col min="6400" max="6400" width="15.28515625" style="10" customWidth="1"/>
    <col min="6401" max="6401" width="11.85546875" style="10" customWidth="1"/>
    <col min="6402" max="6402" width="6.140625" style="10" customWidth="1"/>
    <col min="6403" max="6403" width="11.85546875" style="10" customWidth="1"/>
    <col min="6404" max="6404" width="9.42578125" style="10" customWidth="1"/>
    <col min="6405" max="6405" width="14.7109375" style="10" customWidth="1"/>
    <col min="6406" max="6406" width="11.5703125" style="10" customWidth="1"/>
    <col min="6407" max="6407" width="0.42578125" style="10" customWidth="1"/>
    <col min="6408" max="6408" width="10.5703125" style="10" bestFit="1" customWidth="1"/>
    <col min="6409" max="6409" width="12.28515625" style="10" customWidth="1"/>
    <col min="6410" max="6410" width="12.5703125" style="10" customWidth="1"/>
    <col min="6411" max="6411" width="10.5703125" style="10" customWidth="1"/>
    <col min="6412" max="6412" width="10.140625" style="10" customWidth="1"/>
    <col min="6413" max="6413" width="8.42578125" style="10" customWidth="1"/>
    <col min="6414" max="6414" width="18.85546875" style="10" customWidth="1"/>
    <col min="6415" max="6415" width="10.28515625" style="10" customWidth="1"/>
    <col min="6416" max="6416" width="11.42578125" style="10"/>
    <col min="6417" max="6417" width="12.140625" style="10" customWidth="1"/>
    <col min="6418" max="6418" width="10.5703125" style="10" customWidth="1"/>
    <col min="6419" max="6419" width="12.42578125" style="10" customWidth="1"/>
    <col min="6420" max="6420" width="15.140625" style="10" customWidth="1"/>
    <col min="6421" max="6421" width="13.5703125" style="10" customWidth="1"/>
    <col min="6422" max="6422" width="13.140625" style="10" customWidth="1"/>
    <col min="6423" max="6423" width="15.7109375" style="10" customWidth="1"/>
    <col min="6424" max="6424" width="37.5703125" style="10" customWidth="1"/>
    <col min="6425" max="6646" width="11.42578125" style="10"/>
    <col min="6647" max="6647" width="10.5703125" style="10" customWidth="1"/>
    <col min="6648" max="6648" width="4.85546875" style="10" customWidth="1"/>
    <col min="6649" max="6649" width="32.42578125" style="10" customWidth="1"/>
    <col min="6650" max="6650" width="9.85546875" style="10" customWidth="1"/>
    <col min="6651" max="6651" width="10.140625" style="10" customWidth="1"/>
    <col min="6652" max="6652" width="12.28515625" style="10" customWidth="1"/>
    <col min="6653" max="6653" width="15.42578125" style="10" customWidth="1"/>
    <col min="6654" max="6654" width="11.85546875" style="10" customWidth="1"/>
    <col min="6655" max="6655" width="13.28515625" style="10" customWidth="1"/>
    <col min="6656" max="6656" width="15.28515625" style="10" customWidth="1"/>
    <col min="6657" max="6657" width="11.85546875" style="10" customWidth="1"/>
    <col min="6658" max="6658" width="6.140625" style="10" customWidth="1"/>
    <col min="6659" max="6659" width="11.85546875" style="10" customWidth="1"/>
    <col min="6660" max="6660" width="9.42578125" style="10" customWidth="1"/>
    <col min="6661" max="6661" width="14.7109375" style="10" customWidth="1"/>
    <col min="6662" max="6662" width="11.5703125" style="10" customWidth="1"/>
    <col min="6663" max="6663" width="0.42578125" style="10" customWidth="1"/>
    <col min="6664" max="6664" width="10.5703125" style="10" bestFit="1" customWidth="1"/>
    <col min="6665" max="6665" width="12.28515625" style="10" customWidth="1"/>
    <col min="6666" max="6666" width="12.5703125" style="10" customWidth="1"/>
    <col min="6667" max="6667" width="10.5703125" style="10" customWidth="1"/>
    <col min="6668" max="6668" width="10.140625" style="10" customWidth="1"/>
    <col min="6669" max="6669" width="8.42578125" style="10" customWidth="1"/>
    <col min="6670" max="6670" width="18.85546875" style="10" customWidth="1"/>
    <col min="6671" max="6671" width="10.28515625" style="10" customWidth="1"/>
    <col min="6672" max="6672" width="11.42578125" style="10"/>
    <col min="6673" max="6673" width="12.140625" style="10" customWidth="1"/>
    <col min="6674" max="6674" width="10.5703125" style="10" customWidth="1"/>
    <col min="6675" max="6675" width="12.42578125" style="10" customWidth="1"/>
    <col min="6676" max="6676" width="15.140625" style="10" customWidth="1"/>
    <col min="6677" max="6677" width="13.5703125" style="10" customWidth="1"/>
    <col min="6678" max="6678" width="13.140625" style="10" customWidth="1"/>
    <col min="6679" max="6679" width="15.7109375" style="10" customWidth="1"/>
    <col min="6680" max="6680" width="37.5703125" style="10" customWidth="1"/>
    <col min="6681" max="6902" width="11.42578125" style="10"/>
    <col min="6903" max="6903" width="10.5703125" style="10" customWidth="1"/>
    <col min="6904" max="6904" width="4.85546875" style="10" customWidth="1"/>
    <col min="6905" max="6905" width="32.42578125" style="10" customWidth="1"/>
    <col min="6906" max="6906" width="9.85546875" style="10" customWidth="1"/>
    <col min="6907" max="6907" width="10.140625" style="10" customWidth="1"/>
    <col min="6908" max="6908" width="12.28515625" style="10" customWidth="1"/>
    <col min="6909" max="6909" width="15.42578125" style="10" customWidth="1"/>
    <col min="6910" max="6910" width="11.85546875" style="10" customWidth="1"/>
    <col min="6911" max="6911" width="13.28515625" style="10" customWidth="1"/>
    <col min="6912" max="6912" width="15.28515625" style="10" customWidth="1"/>
    <col min="6913" max="6913" width="11.85546875" style="10" customWidth="1"/>
    <col min="6914" max="6914" width="6.140625" style="10" customWidth="1"/>
    <col min="6915" max="6915" width="11.85546875" style="10" customWidth="1"/>
    <col min="6916" max="6916" width="9.42578125" style="10" customWidth="1"/>
    <col min="6917" max="6917" width="14.7109375" style="10" customWidth="1"/>
    <col min="6918" max="6918" width="11.5703125" style="10" customWidth="1"/>
    <col min="6919" max="6919" width="0.42578125" style="10" customWidth="1"/>
    <col min="6920" max="6920" width="10.5703125" style="10" bestFit="1" customWidth="1"/>
    <col min="6921" max="6921" width="12.28515625" style="10" customWidth="1"/>
    <col min="6922" max="6922" width="12.5703125" style="10" customWidth="1"/>
    <col min="6923" max="6923" width="10.5703125" style="10" customWidth="1"/>
    <col min="6924" max="6924" width="10.140625" style="10" customWidth="1"/>
    <col min="6925" max="6925" width="8.42578125" style="10" customWidth="1"/>
    <col min="6926" max="6926" width="18.85546875" style="10" customWidth="1"/>
    <col min="6927" max="6927" width="10.28515625" style="10" customWidth="1"/>
    <col min="6928" max="6928" width="11.42578125" style="10"/>
    <col min="6929" max="6929" width="12.140625" style="10" customWidth="1"/>
    <col min="6930" max="6930" width="10.5703125" style="10" customWidth="1"/>
    <col min="6931" max="6931" width="12.42578125" style="10" customWidth="1"/>
    <col min="6932" max="6932" width="15.140625" style="10" customWidth="1"/>
    <col min="6933" max="6933" width="13.5703125" style="10" customWidth="1"/>
    <col min="6934" max="6934" width="13.140625" style="10" customWidth="1"/>
    <col min="6935" max="6935" width="15.7109375" style="10" customWidth="1"/>
    <col min="6936" max="6936" width="37.5703125" style="10" customWidth="1"/>
    <col min="6937" max="7158" width="11.42578125" style="10"/>
    <col min="7159" max="7159" width="10.5703125" style="10" customWidth="1"/>
    <col min="7160" max="7160" width="4.85546875" style="10" customWidth="1"/>
    <col min="7161" max="7161" width="32.42578125" style="10" customWidth="1"/>
    <col min="7162" max="7162" width="9.85546875" style="10" customWidth="1"/>
    <col min="7163" max="7163" width="10.140625" style="10" customWidth="1"/>
    <col min="7164" max="7164" width="12.28515625" style="10" customWidth="1"/>
    <col min="7165" max="7165" width="15.42578125" style="10" customWidth="1"/>
    <col min="7166" max="7166" width="11.85546875" style="10" customWidth="1"/>
    <col min="7167" max="7167" width="13.28515625" style="10" customWidth="1"/>
    <col min="7168" max="7168" width="15.28515625" style="10" customWidth="1"/>
    <col min="7169" max="7169" width="11.85546875" style="10" customWidth="1"/>
    <col min="7170" max="7170" width="6.140625" style="10" customWidth="1"/>
    <col min="7171" max="7171" width="11.85546875" style="10" customWidth="1"/>
    <col min="7172" max="7172" width="9.42578125" style="10" customWidth="1"/>
    <col min="7173" max="7173" width="14.7109375" style="10" customWidth="1"/>
    <col min="7174" max="7174" width="11.5703125" style="10" customWidth="1"/>
    <col min="7175" max="7175" width="0.42578125" style="10" customWidth="1"/>
    <col min="7176" max="7176" width="10.5703125" style="10" bestFit="1" customWidth="1"/>
    <col min="7177" max="7177" width="12.28515625" style="10" customWidth="1"/>
    <col min="7178" max="7178" width="12.5703125" style="10" customWidth="1"/>
    <col min="7179" max="7179" width="10.5703125" style="10" customWidth="1"/>
    <col min="7180" max="7180" width="10.140625" style="10" customWidth="1"/>
    <col min="7181" max="7181" width="8.42578125" style="10" customWidth="1"/>
    <col min="7182" max="7182" width="18.85546875" style="10" customWidth="1"/>
    <col min="7183" max="7183" width="10.28515625" style="10" customWidth="1"/>
    <col min="7184" max="7184" width="11.42578125" style="10"/>
    <col min="7185" max="7185" width="12.140625" style="10" customWidth="1"/>
    <col min="7186" max="7186" width="10.5703125" style="10" customWidth="1"/>
    <col min="7187" max="7187" width="12.42578125" style="10" customWidth="1"/>
    <col min="7188" max="7188" width="15.140625" style="10" customWidth="1"/>
    <col min="7189" max="7189" width="13.5703125" style="10" customWidth="1"/>
    <col min="7190" max="7190" width="13.140625" style="10" customWidth="1"/>
    <col min="7191" max="7191" width="15.7109375" style="10" customWidth="1"/>
    <col min="7192" max="7192" width="37.5703125" style="10" customWidth="1"/>
    <col min="7193" max="7414" width="11.42578125" style="10"/>
    <col min="7415" max="7415" width="10.5703125" style="10" customWidth="1"/>
    <col min="7416" max="7416" width="4.85546875" style="10" customWidth="1"/>
    <col min="7417" max="7417" width="32.42578125" style="10" customWidth="1"/>
    <col min="7418" max="7418" width="9.85546875" style="10" customWidth="1"/>
    <col min="7419" max="7419" width="10.140625" style="10" customWidth="1"/>
    <col min="7420" max="7420" width="12.28515625" style="10" customWidth="1"/>
    <col min="7421" max="7421" width="15.42578125" style="10" customWidth="1"/>
    <col min="7422" max="7422" width="11.85546875" style="10" customWidth="1"/>
    <col min="7423" max="7423" width="13.28515625" style="10" customWidth="1"/>
    <col min="7424" max="7424" width="15.28515625" style="10" customWidth="1"/>
    <col min="7425" max="7425" width="11.85546875" style="10" customWidth="1"/>
    <col min="7426" max="7426" width="6.140625" style="10" customWidth="1"/>
    <col min="7427" max="7427" width="11.85546875" style="10" customWidth="1"/>
    <col min="7428" max="7428" width="9.42578125" style="10" customWidth="1"/>
    <col min="7429" max="7429" width="14.7109375" style="10" customWidth="1"/>
    <col min="7430" max="7430" width="11.5703125" style="10" customWidth="1"/>
    <col min="7431" max="7431" width="0.42578125" style="10" customWidth="1"/>
    <col min="7432" max="7432" width="10.5703125" style="10" bestFit="1" customWidth="1"/>
    <col min="7433" max="7433" width="12.28515625" style="10" customWidth="1"/>
    <col min="7434" max="7434" width="12.5703125" style="10" customWidth="1"/>
    <col min="7435" max="7435" width="10.5703125" style="10" customWidth="1"/>
    <col min="7436" max="7436" width="10.140625" style="10" customWidth="1"/>
    <col min="7437" max="7437" width="8.42578125" style="10" customWidth="1"/>
    <col min="7438" max="7438" width="18.85546875" style="10" customWidth="1"/>
    <col min="7439" max="7439" width="10.28515625" style="10" customWidth="1"/>
    <col min="7440" max="7440" width="11.42578125" style="10"/>
    <col min="7441" max="7441" width="12.140625" style="10" customWidth="1"/>
    <col min="7442" max="7442" width="10.5703125" style="10" customWidth="1"/>
    <col min="7443" max="7443" width="12.42578125" style="10" customWidth="1"/>
    <col min="7444" max="7444" width="15.140625" style="10" customWidth="1"/>
    <col min="7445" max="7445" width="13.5703125" style="10" customWidth="1"/>
    <col min="7446" max="7446" width="13.140625" style="10" customWidth="1"/>
    <col min="7447" max="7447" width="15.7109375" style="10" customWidth="1"/>
    <col min="7448" max="7448" width="37.5703125" style="10" customWidth="1"/>
    <col min="7449" max="7670" width="11.42578125" style="10"/>
    <col min="7671" max="7671" width="10.5703125" style="10" customWidth="1"/>
    <col min="7672" max="7672" width="4.85546875" style="10" customWidth="1"/>
    <col min="7673" max="7673" width="32.42578125" style="10" customWidth="1"/>
    <col min="7674" max="7674" width="9.85546875" style="10" customWidth="1"/>
    <col min="7675" max="7675" width="10.140625" style="10" customWidth="1"/>
    <col min="7676" max="7676" width="12.28515625" style="10" customWidth="1"/>
    <col min="7677" max="7677" width="15.42578125" style="10" customWidth="1"/>
    <col min="7678" max="7678" width="11.85546875" style="10" customWidth="1"/>
    <col min="7679" max="7679" width="13.28515625" style="10" customWidth="1"/>
    <col min="7680" max="7680" width="15.28515625" style="10" customWidth="1"/>
    <col min="7681" max="7681" width="11.85546875" style="10" customWidth="1"/>
    <col min="7682" max="7682" width="6.140625" style="10" customWidth="1"/>
    <col min="7683" max="7683" width="11.85546875" style="10" customWidth="1"/>
    <col min="7684" max="7684" width="9.42578125" style="10" customWidth="1"/>
    <col min="7685" max="7685" width="14.7109375" style="10" customWidth="1"/>
    <col min="7686" max="7686" width="11.5703125" style="10" customWidth="1"/>
    <col min="7687" max="7687" width="0.42578125" style="10" customWidth="1"/>
    <col min="7688" max="7688" width="10.5703125" style="10" bestFit="1" customWidth="1"/>
    <col min="7689" max="7689" width="12.28515625" style="10" customWidth="1"/>
    <col min="7690" max="7690" width="12.5703125" style="10" customWidth="1"/>
    <col min="7691" max="7691" width="10.5703125" style="10" customWidth="1"/>
    <col min="7692" max="7692" width="10.140625" style="10" customWidth="1"/>
    <col min="7693" max="7693" width="8.42578125" style="10" customWidth="1"/>
    <col min="7694" max="7694" width="18.85546875" style="10" customWidth="1"/>
    <col min="7695" max="7695" width="10.28515625" style="10" customWidth="1"/>
    <col min="7696" max="7696" width="11.42578125" style="10"/>
    <col min="7697" max="7697" width="12.140625" style="10" customWidth="1"/>
    <col min="7698" max="7698" width="10.5703125" style="10" customWidth="1"/>
    <col min="7699" max="7699" width="12.42578125" style="10" customWidth="1"/>
    <col min="7700" max="7700" width="15.140625" style="10" customWidth="1"/>
    <col min="7701" max="7701" width="13.5703125" style="10" customWidth="1"/>
    <col min="7702" max="7702" width="13.140625" style="10" customWidth="1"/>
    <col min="7703" max="7703" width="15.7109375" style="10" customWidth="1"/>
    <col min="7704" max="7704" width="37.5703125" style="10" customWidth="1"/>
    <col min="7705" max="7926" width="11.42578125" style="10"/>
    <col min="7927" max="7927" width="10.5703125" style="10" customWidth="1"/>
    <col min="7928" max="7928" width="4.85546875" style="10" customWidth="1"/>
    <col min="7929" max="7929" width="32.42578125" style="10" customWidth="1"/>
    <col min="7930" max="7930" width="9.85546875" style="10" customWidth="1"/>
    <col min="7931" max="7931" width="10.140625" style="10" customWidth="1"/>
    <col min="7932" max="7932" width="12.28515625" style="10" customWidth="1"/>
    <col min="7933" max="7933" width="15.42578125" style="10" customWidth="1"/>
    <col min="7934" max="7934" width="11.85546875" style="10" customWidth="1"/>
    <col min="7935" max="7935" width="13.28515625" style="10" customWidth="1"/>
    <col min="7936" max="7936" width="15.28515625" style="10" customWidth="1"/>
    <col min="7937" max="7937" width="11.85546875" style="10" customWidth="1"/>
    <col min="7938" max="7938" width="6.140625" style="10" customWidth="1"/>
    <col min="7939" max="7939" width="11.85546875" style="10" customWidth="1"/>
    <col min="7940" max="7940" width="9.42578125" style="10" customWidth="1"/>
    <col min="7941" max="7941" width="14.7109375" style="10" customWidth="1"/>
    <col min="7942" max="7942" width="11.5703125" style="10" customWidth="1"/>
    <col min="7943" max="7943" width="0.42578125" style="10" customWidth="1"/>
    <col min="7944" max="7944" width="10.5703125" style="10" bestFit="1" customWidth="1"/>
    <col min="7945" max="7945" width="12.28515625" style="10" customWidth="1"/>
    <col min="7946" max="7946" width="12.5703125" style="10" customWidth="1"/>
    <col min="7947" max="7947" width="10.5703125" style="10" customWidth="1"/>
    <col min="7948" max="7948" width="10.140625" style="10" customWidth="1"/>
    <col min="7949" max="7949" width="8.42578125" style="10" customWidth="1"/>
    <col min="7950" max="7950" width="18.85546875" style="10" customWidth="1"/>
    <col min="7951" max="7951" width="10.28515625" style="10" customWidth="1"/>
    <col min="7952" max="7952" width="11.42578125" style="10"/>
    <col min="7953" max="7953" width="12.140625" style="10" customWidth="1"/>
    <col min="7954" max="7954" width="10.5703125" style="10" customWidth="1"/>
    <col min="7955" max="7955" width="12.42578125" style="10" customWidth="1"/>
    <col min="7956" max="7956" width="15.140625" style="10" customWidth="1"/>
    <col min="7957" max="7957" width="13.5703125" style="10" customWidth="1"/>
    <col min="7958" max="7958" width="13.140625" style="10" customWidth="1"/>
    <col min="7959" max="7959" width="15.7109375" style="10" customWidth="1"/>
    <col min="7960" max="7960" width="37.5703125" style="10" customWidth="1"/>
    <col min="7961" max="8182" width="11.42578125" style="10"/>
    <col min="8183" max="8183" width="10.5703125" style="10" customWidth="1"/>
    <col min="8184" max="8184" width="4.85546875" style="10" customWidth="1"/>
    <col min="8185" max="8185" width="32.42578125" style="10" customWidth="1"/>
    <col min="8186" max="8186" width="9.85546875" style="10" customWidth="1"/>
    <col min="8187" max="8187" width="10.140625" style="10" customWidth="1"/>
    <col min="8188" max="8188" width="12.28515625" style="10" customWidth="1"/>
    <col min="8189" max="8189" width="15.42578125" style="10" customWidth="1"/>
    <col min="8190" max="8190" width="11.85546875" style="10" customWidth="1"/>
    <col min="8191" max="8191" width="13.28515625" style="10" customWidth="1"/>
    <col min="8192" max="8192" width="15.28515625" style="10" customWidth="1"/>
    <col min="8193" max="8193" width="11.85546875" style="10" customWidth="1"/>
    <col min="8194" max="8194" width="6.140625" style="10" customWidth="1"/>
    <col min="8195" max="8195" width="11.85546875" style="10" customWidth="1"/>
    <col min="8196" max="8196" width="9.42578125" style="10" customWidth="1"/>
    <col min="8197" max="8197" width="14.7109375" style="10" customWidth="1"/>
    <col min="8198" max="8198" width="11.5703125" style="10" customWidth="1"/>
    <col min="8199" max="8199" width="0.42578125" style="10" customWidth="1"/>
    <col min="8200" max="8200" width="10.5703125" style="10" bestFit="1" customWidth="1"/>
    <col min="8201" max="8201" width="12.28515625" style="10" customWidth="1"/>
    <col min="8202" max="8202" width="12.5703125" style="10" customWidth="1"/>
    <col min="8203" max="8203" width="10.5703125" style="10" customWidth="1"/>
    <col min="8204" max="8204" width="10.140625" style="10" customWidth="1"/>
    <col min="8205" max="8205" width="8.42578125" style="10" customWidth="1"/>
    <col min="8206" max="8206" width="18.85546875" style="10" customWidth="1"/>
    <col min="8207" max="8207" width="10.28515625" style="10" customWidth="1"/>
    <col min="8208" max="8208" width="11.42578125" style="10"/>
    <col min="8209" max="8209" width="12.140625" style="10" customWidth="1"/>
    <col min="8210" max="8210" width="10.5703125" style="10" customWidth="1"/>
    <col min="8211" max="8211" width="12.42578125" style="10" customWidth="1"/>
    <col min="8212" max="8212" width="15.140625" style="10" customWidth="1"/>
    <col min="8213" max="8213" width="13.5703125" style="10" customWidth="1"/>
    <col min="8214" max="8214" width="13.140625" style="10" customWidth="1"/>
    <col min="8215" max="8215" width="15.7109375" style="10" customWidth="1"/>
    <col min="8216" max="8216" width="37.5703125" style="10" customWidth="1"/>
    <col min="8217" max="8438" width="11.42578125" style="10"/>
    <col min="8439" max="8439" width="10.5703125" style="10" customWidth="1"/>
    <col min="8440" max="8440" width="4.85546875" style="10" customWidth="1"/>
    <col min="8441" max="8441" width="32.42578125" style="10" customWidth="1"/>
    <col min="8442" max="8442" width="9.85546875" style="10" customWidth="1"/>
    <col min="8443" max="8443" width="10.140625" style="10" customWidth="1"/>
    <col min="8444" max="8444" width="12.28515625" style="10" customWidth="1"/>
    <col min="8445" max="8445" width="15.42578125" style="10" customWidth="1"/>
    <col min="8446" max="8446" width="11.85546875" style="10" customWidth="1"/>
    <col min="8447" max="8447" width="13.28515625" style="10" customWidth="1"/>
    <col min="8448" max="8448" width="15.28515625" style="10" customWidth="1"/>
    <col min="8449" max="8449" width="11.85546875" style="10" customWidth="1"/>
    <col min="8450" max="8450" width="6.140625" style="10" customWidth="1"/>
    <col min="8451" max="8451" width="11.85546875" style="10" customWidth="1"/>
    <col min="8452" max="8452" width="9.42578125" style="10" customWidth="1"/>
    <col min="8453" max="8453" width="14.7109375" style="10" customWidth="1"/>
    <col min="8454" max="8454" width="11.5703125" style="10" customWidth="1"/>
    <col min="8455" max="8455" width="0.42578125" style="10" customWidth="1"/>
    <col min="8456" max="8456" width="10.5703125" style="10" bestFit="1" customWidth="1"/>
    <col min="8457" max="8457" width="12.28515625" style="10" customWidth="1"/>
    <col min="8458" max="8458" width="12.5703125" style="10" customWidth="1"/>
    <col min="8459" max="8459" width="10.5703125" style="10" customWidth="1"/>
    <col min="8460" max="8460" width="10.140625" style="10" customWidth="1"/>
    <col min="8461" max="8461" width="8.42578125" style="10" customWidth="1"/>
    <col min="8462" max="8462" width="18.85546875" style="10" customWidth="1"/>
    <col min="8463" max="8463" width="10.28515625" style="10" customWidth="1"/>
    <col min="8464" max="8464" width="11.42578125" style="10"/>
    <col min="8465" max="8465" width="12.140625" style="10" customWidth="1"/>
    <col min="8466" max="8466" width="10.5703125" style="10" customWidth="1"/>
    <col min="8467" max="8467" width="12.42578125" style="10" customWidth="1"/>
    <col min="8468" max="8468" width="15.140625" style="10" customWidth="1"/>
    <col min="8469" max="8469" width="13.5703125" style="10" customWidth="1"/>
    <col min="8470" max="8470" width="13.140625" style="10" customWidth="1"/>
    <col min="8471" max="8471" width="15.7109375" style="10" customWidth="1"/>
    <col min="8472" max="8472" width="37.5703125" style="10" customWidth="1"/>
    <col min="8473" max="8694" width="11.42578125" style="10"/>
    <col min="8695" max="8695" width="10.5703125" style="10" customWidth="1"/>
    <col min="8696" max="8696" width="4.85546875" style="10" customWidth="1"/>
    <col min="8697" max="8697" width="32.42578125" style="10" customWidth="1"/>
    <col min="8698" max="8698" width="9.85546875" style="10" customWidth="1"/>
    <col min="8699" max="8699" width="10.140625" style="10" customWidth="1"/>
    <col min="8700" max="8700" width="12.28515625" style="10" customWidth="1"/>
    <col min="8701" max="8701" width="15.42578125" style="10" customWidth="1"/>
    <col min="8702" max="8702" width="11.85546875" style="10" customWidth="1"/>
    <col min="8703" max="8703" width="13.28515625" style="10" customWidth="1"/>
    <col min="8704" max="8704" width="15.28515625" style="10" customWidth="1"/>
    <col min="8705" max="8705" width="11.85546875" style="10" customWidth="1"/>
    <col min="8706" max="8706" width="6.140625" style="10" customWidth="1"/>
    <col min="8707" max="8707" width="11.85546875" style="10" customWidth="1"/>
    <col min="8708" max="8708" width="9.42578125" style="10" customWidth="1"/>
    <col min="8709" max="8709" width="14.7109375" style="10" customWidth="1"/>
    <col min="8710" max="8710" width="11.5703125" style="10" customWidth="1"/>
    <col min="8711" max="8711" width="0.42578125" style="10" customWidth="1"/>
    <col min="8712" max="8712" width="10.5703125" style="10" bestFit="1" customWidth="1"/>
    <col min="8713" max="8713" width="12.28515625" style="10" customWidth="1"/>
    <col min="8714" max="8714" width="12.5703125" style="10" customWidth="1"/>
    <col min="8715" max="8715" width="10.5703125" style="10" customWidth="1"/>
    <col min="8716" max="8716" width="10.140625" style="10" customWidth="1"/>
    <col min="8717" max="8717" width="8.42578125" style="10" customWidth="1"/>
    <col min="8718" max="8718" width="18.85546875" style="10" customWidth="1"/>
    <col min="8719" max="8719" width="10.28515625" style="10" customWidth="1"/>
    <col min="8720" max="8720" width="11.42578125" style="10"/>
    <col min="8721" max="8721" width="12.140625" style="10" customWidth="1"/>
    <col min="8722" max="8722" width="10.5703125" style="10" customWidth="1"/>
    <col min="8723" max="8723" width="12.42578125" style="10" customWidth="1"/>
    <col min="8724" max="8724" width="15.140625" style="10" customWidth="1"/>
    <col min="8725" max="8725" width="13.5703125" style="10" customWidth="1"/>
    <col min="8726" max="8726" width="13.140625" style="10" customWidth="1"/>
    <col min="8727" max="8727" width="15.7109375" style="10" customWidth="1"/>
    <col min="8728" max="8728" width="37.5703125" style="10" customWidth="1"/>
    <col min="8729" max="8950" width="11.42578125" style="10"/>
    <col min="8951" max="8951" width="10.5703125" style="10" customWidth="1"/>
    <col min="8952" max="8952" width="4.85546875" style="10" customWidth="1"/>
    <col min="8953" max="8953" width="32.42578125" style="10" customWidth="1"/>
    <col min="8954" max="8954" width="9.85546875" style="10" customWidth="1"/>
    <col min="8955" max="8955" width="10.140625" style="10" customWidth="1"/>
    <col min="8956" max="8956" width="12.28515625" style="10" customWidth="1"/>
    <col min="8957" max="8957" width="15.42578125" style="10" customWidth="1"/>
    <col min="8958" max="8958" width="11.85546875" style="10" customWidth="1"/>
    <col min="8959" max="8959" width="13.28515625" style="10" customWidth="1"/>
    <col min="8960" max="8960" width="15.28515625" style="10" customWidth="1"/>
    <col min="8961" max="8961" width="11.85546875" style="10" customWidth="1"/>
    <col min="8962" max="8962" width="6.140625" style="10" customWidth="1"/>
    <col min="8963" max="8963" width="11.85546875" style="10" customWidth="1"/>
    <col min="8964" max="8964" width="9.42578125" style="10" customWidth="1"/>
    <col min="8965" max="8965" width="14.7109375" style="10" customWidth="1"/>
    <col min="8966" max="8966" width="11.5703125" style="10" customWidth="1"/>
    <col min="8967" max="8967" width="0.42578125" style="10" customWidth="1"/>
    <col min="8968" max="8968" width="10.5703125" style="10" bestFit="1" customWidth="1"/>
    <col min="8969" max="8969" width="12.28515625" style="10" customWidth="1"/>
    <col min="8970" max="8970" width="12.5703125" style="10" customWidth="1"/>
    <col min="8971" max="8971" width="10.5703125" style="10" customWidth="1"/>
    <col min="8972" max="8972" width="10.140625" style="10" customWidth="1"/>
    <col min="8973" max="8973" width="8.42578125" style="10" customWidth="1"/>
    <col min="8974" max="8974" width="18.85546875" style="10" customWidth="1"/>
    <col min="8975" max="8975" width="10.28515625" style="10" customWidth="1"/>
    <col min="8976" max="8976" width="11.42578125" style="10"/>
    <col min="8977" max="8977" width="12.140625" style="10" customWidth="1"/>
    <col min="8978" max="8978" width="10.5703125" style="10" customWidth="1"/>
    <col min="8979" max="8979" width="12.42578125" style="10" customWidth="1"/>
    <col min="8980" max="8980" width="15.140625" style="10" customWidth="1"/>
    <col min="8981" max="8981" width="13.5703125" style="10" customWidth="1"/>
    <col min="8982" max="8982" width="13.140625" style="10" customWidth="1"/>
    <col min="8983" max="8983" width="15.7109375" style="10" customWidth="1"/>
    <col min="8984" max="8984" width="37.5703125" style="10" customWidth="1"/>
    <col min="8985" max="9206" width="11.42578125" style="10"/>
    <col min="9207" max="9207" width="10.5703125" style="10" customWidth="1"/>
    <col min="9208" max="9208" width="4.85546875" style="10" customWidth="1"/>
    <col min="9209" max="9209" width="32.42578125" style="10" customWidth="1"/>
    <col min="9210" max="9210" width="9.85546875" style="10" customWidth="1"/>
    <col min="9211" max="9211" width="10.140625" style="10" customWidth="1"/>
    <col min="9212" max="9212" width="12.28515625" style="10" customWidth="1"/>
    <col min="9213" max="9213" width="15.42578125" style="10" customWidth="1"/>
    <col min="9214" max="9214" width="11.85546875" style="10" customWidth="1"/>
    <col min="9215" max="9215" width="13.28515625" style="10" customWidth="1"/>
    <col min="9216" max="9216" width="15.28515625" style="10" customWidth="1"/>
    <col min="9217" max="9217" width="11.85546875" style="10" customWidth="1"/>
    <col min="9218" max="9218" width="6.140625" style="10" customWidth="1"/>
    <col min="9219" max="9219" width="11.85546875" style="10" customWidth="1"/>
    <col min="9220" max="9220" width="9.42578125" style="10" customWidth="1"/>
    <col min="9221" max="9221" width="14.7109375" style="10" customWidth="1"/>
    <col min="9222" max="9222" width="11.5703125" style="10" customWidth="1"/>
    <col min="9223" max="9223" width="0.42578125" style="10" customWidth="1"/>
    <col min="9224" max="9224" width="10.5703125" style="10" bestFit="1" customWidth="1"/>
    <col min="9225" max="9225" width="12.28515625" style="10" customWidth="1"/>
    <col min="9226" max="9226" width="12.5703125" style="10" customWidth="1"/>
    <col min="9227" max="9227" width="10.5703125" style="10" customWidth="1"/>
    <col min="9228" max="9228" width="10.140625" style="10" customWidth="1"/>
    <col min="9229" max="9229" width="8.42578125" style="10" customWidth="1"/>
    <col min="9230" max="9230" width="18.85546875" style="10" customWidth="1"/>
    <col min="9231" max="9231" width="10.28515625" style="10" customWidth="1"/>
    <col min="9232" max="9232" width="11.42578125" style="10"/>
    <col min="9233" max="9233" width="12.140625" style="10" customWidth="1"/>
    <col min="9234" max="9234" width="10.5703125" style="10" customWidth="1"/>
    <col min="9235" max="9235" width="12.42578125" style="10" customWidth="1"/>
    <col min="9236" max="9236" width="15.140625" style="10" customWidth="1"/>
    <col min="9237" max="9237" width="13.5703125" style="10" customWidth="1"/>
    <col min="9238" max="9238" width="13.140625" style="10" customWidth="1"/>
    <col min="9239" max="9239" width="15.7109375" style="10" customWidth="1"/>
    <col min="9240" max="9240" width="37.5703125" style="10" customWidth="1"/>
    <col min="9241" max="9462" width="11.42578125" style="10"/>
    <col min="9463" max="9463" width="10.5703125" style="10" customWidth="1"/>
    <col min="9464" max="9464" width="4.85546875" style="10" customWidth="1"/>
    <col min="9465" max="9465" width="32.42578125" style="10" customWidth="1"/>
    <col min="9466" max="9466" width="9.85546875" style="10" customWidth="1"/>
    <col min="9467" max="9467" width="10.140625" style="10" customWidth="1"/>
    <col min="9468" max="9468" width="12.28515625" style="10" customWidth="1"/>
    <col min="9469" max="9469" width="15.42578125" style="10" customWidth="1"/>
    <col min="9470" max="9470" width="11.85546875" style="10" customWidth="1"/>
    <col min="9471" max="9471" width="13.28515625" style="10" customWidth="1"/>
    <col min="9472" max="9472" width="15.28515625" style="10" customWidth="1"/>
    <col min="9473" max="9473" width="11.85546875" style="10" customWidth="1"/>
    <col min="9474" max="9474" width="6.140625" style="10" customWidth="1"/>
    <col min="9475" max="9475" width="11.85546875" style="10" customWidth="1"/>
    <col min="9476" max="9476" width="9.42578125" style="10" customWidth="1"/>
    <col min="9477" max="9477" width="14.7109375" style="10" customWidth="1"/>
    <col min="9478" max="9478" width="11.5703125" style="10" customWidth="1"/>
    <col min="9479" max="9479" width="0.42578125" style="10" customWidth="1"/>
    <col min="9480" max="9480" width="10.5703125" style="10" bestFit="1" customWidth="1"/>
    <col min="9481" max="9481" width="12.28515625" style="10" customWidth="1"/>
    <col min="9482" max="9482" width="12.5703125" style="10" customWidth="1"/>
    <col min="9483" max="9483" width="10.5703125" style="10" customWidth="1"/>
    <col min="9484" max="9484" width="10.140625" style="10" customWidth="1"/>
    <col min="9485" max="9485" width="8.42578125" style="10" customWidth="1"/>
    <col min="9486" max="9486" width="18.85546875" style="10" customWidth="1"/>
    <col min="9487" max="9487" width="10.28515625" style="10" customWidth="1"/>
    <col min="9488" max="9488" width="11.42578125" style="10"/>
    <col min="9489" max="9489" width="12.140625" style="10" customWidth="1"/>
    <col min="9490" max="9490" width="10.5703125" style="10" customWidth="1"/>
    <col min="9491" max="9491" width="12.42578125" style="10" customWidth="1"/>
    <col min="9492" max="9492" width="15.140625" style="10" customWidth="1"/>
    <col min="9493" max="9493" width="13.5703125" style="10" customWidth="1"/>
    <col min="9494" max="9494" width="13.140625" style="10" customWidth="1"/>
    <col min="9495" max="9495" width="15.7109375" style="10" customWidth="1"/>
    <col min="9496" max="9496" width="37.5703125" style="10" customWidth="1"/>
    <col min="9497" max="9718" width="11.42578125" style="10"/>
    <col min="9719" max="9719" width="10.5703125" style="10" customWidth="1"/>
    <col min="9720" max="9720" width="4.85546875" style="10" customWidth="1"/>
    <col min="9721" max="9721" width="32.42578125" style="10" customWidth="1"/>
    <col min="9722" max="9722" width="9.85546875" style="10" customWidth="1"/>
    <col min="9723" max="9723" width="10.140625" style="10" customWidth="1"/>
    <col min="9724" max="9724" width="12.28515625" style="10" customWidth="1"/>
    <col min="9725" max="9725" width="15.42578125" style="10" customWidth="1"/>
    <col min="9726" max="9726" width="11.85546875" style="10" customWidth="1"/>
    <col min="9727" max="9727" width="13.28515625" style="10" customWidth="1"/>
    <col min="9728" max="9728" width="15.28515625" style="10" customWidth="1"/>
    <col min="9729" max="9729" width="11.85546875" style="10" customWidth="1"/>
    <col min="9730" max="9730" width="6.140625" style="10" customWidth="1"/>
    <col min="9731" max="9731" width="11.85546875" style="10" customWidth="1"/>
    <col min="9732" max="9732" width="9.42578125" style="10" customWidth="1"/>
    <col min="9733" max="9733" width="14.7109375" style="10" customWidth="1"/>
    <col min="9734" max="9734" width="11.5703125" style="10" customWidth="1"/>
    <col min="9735" max="9735" width="0.42578125" style="10" customWidth="1"/>
    <col min="9736" max="9736" width="10.5703125" style="10" bestFit="1" customWidth="1"/>
    <col min="9737" max="9737" width="12.28515625" style="10" customWidth="1"/>
    <col min="9738" max="9738" width="12.5703125" style="10" customWidth="1"/>
    <col min="9739" max="9739" width="10.5703125" style="10" customWidth="1"/>
    <col min="9740" max="9740" width="10.140625" style="10" customWidth="1"/>
    <col min="9741" max="9741" width="8.42578125" style="10" customWidth="1"/>
    <col min="9742" max="9742" width="18.85546875" style="10" customWidth="1"/>
    <col min="9743" max="9743" width="10.28515625" style="10" customWidth="1"/>
    <col min="9744" max="9744" width="11.42578125" style="10"/>
    <col min="9745" max="9745" width="12.140625" style="10" customWidth="1"/>
    <col min="9746" max="9746" width="10.5703125" style="10" customWidth="1"/>
    <col min="9747" max="9747" width="12.42578125" style="10" customWidth="1"/>
    <col min="9748" max="9748" width="15.140625" style="10" customWidth="1"/>
    <col min="9749" max="9749" width="13.5703125" style="10" customWidth="1"/>
    <col min="9750" max="9750" width="13.140625" style="10" customWidth="1"/>
    <col min="9751" max="9751" width="15.7109375" style="10" customWidth="1"/>
    <col min="9752" max="9752" width="37.5703125" style="10" customWidth="1"/>
    <col min="9753" max="9974" width="11.42578125" style="10"/>
    <col min="9975" max="9975" width="10.5703125" style="10" customWidth="1"/>
    <col min="9976" max="9976" width="4.85546875" style="10" customWidth="1"/>
    <col min="9977" max="9977" width="32.42578125" style="10" customWidth="1"/>
    <col min="9978" max="9978" width="9.85546875" style="10" customWidth="1"/>
    <col min="9979" max="9979" width="10.140625" style="10" customWidth="1"/>
    <col min="9980" max="9980" width="12.28515625" style="10" customWidth="1"/>
    <col min="9981" max="9981" width="15.42578125" style="10" customWidth="1"/>
    <col min="9982" max="9982" width="11.85546875" style="10" customWidth="1"/>
    <col min="9983" max="9983" width="13.28515625" style="10" customWidth="1"/>
    <col min="9984" max="9984" width="15.28515625" style="10" customWidth="1"/>
    <col min="9985" max="9985" width="11.85546875" style="10" customWidth="1"/>
    <col min="9986" max="9986" width="6.140625" style="10" customWidth="1"/>
    <col min="9987" max="9987" width="11.85546875" style="10" customWidth="1"/>
    <col min="9988" max="9988" width="9.42578125" style="10" customWidth="1"/>
    <col min="9989" max="9989" width="14.7109375" style="10" customWidth="1"/>
    <col min="9990" max="9990" width="11.5703125" style="10" customWidth="1"/>
    <col min="9991" max="9991" width="0.42578125" style="10" customWidth="1"/>
    <col min="9992" max="9992" width="10.5703125" style="10" bestFit="1" customWidth="1"/>
    <col min="9993" max="9993" width="12.28515625" style="10" customWidth="1"/>
    <col min="9994" max="9994" width="12.5703125" style="10" customWidth="1"/>
    <col min="9995" max="9995" width="10.5703125" style="10" customWidth="1"/>
    <col min="9996" max="9996" width="10.140625" style="10" customWidth="1"/>
    <col min="9997" max="9997" width="8.42578125" style="10" customWidth="1"/>
    <col min="9998" max="9998" width="18.85546875" style="10" customWidth="1"/>
    <col min="9999" max="9999" width="10.28515625" style="10" customWidth="1"/>
    <col min="10000" max="10000" width="11.42578125" style="10"/>
    <col min="10001" max="10001" width="12.140625" style="10" customWidth="1"/>
    <col min="10002" max="10002" width="10.5703125" style="10" customWidth="1"/>
    <col min="10003" max="10003" width="12.42578125" style="10" customWidth="1"/>
    <col min="10004" max="10004" width="15.140625" style="10" customWidth="1"/>
    <col min="10005" max="10005" width="13.5703125" style="10" customWidth="1"/>
    <col min="10006" max="10006" width="13.140625" style="10" customWidth="1"/>
    <col min="10007" max="10007" width="15.7109375" style="10" customWidth="1"/>
    <col min="10008" max="10008" width="37.5703125" style="10" customWidth="1"/>
    <col min="10009" max="10230" width="11.42578125" style="10"/>
    <col min="10231" max="10231" width="10.5703125" style="10" customWidth="1"/>
    <col min="10232" max="10232" width="4.85546875" style="10" customWidth="1"/>
    <col min="10233" max="10233" width="32.42578125" style="10" customWidth="1"/>
    <col min="10234" max="10234" width="9.85546875" style="10" customWidth="1"/>
    <col min="10235" max="10235" width="10.140625" style="10" customWidth="1"/>
    <col min="10236" max="10236" width="12.28515625" style="10" customWidth="1"/>
    <col min="10237" max="10237" width="15.42578125" style="10" customWidth="1"/>
    <col min="10238" max="10238" width="11.85546875" style="10" customWidth="1"/>
    <col min="10239" max="10239" width="13.28515625" style="10" customWidth="1"/>
    <col min="10240" max="10240" width="15.28515625" style="10" customWidth="1"/>
    <col min="10241" max="10241" width="11.85546875" style="10" customWidth="1"/>
    <col min="10242" max="10242" width="6.140625" style="10" customWidth="1"/>
    <col min="10243" max="10243" width="11.85546875" style="10" customWidth="1"/>
    <col min="10244" max="10244" width="9.42578125" style="10" customWidth="1"/>
    <col min="10245" max="10245" width="14.7109375" style="10" customWidth="1"/>
    <col min="10246" max="10246" width="11.5703125" style="10" customWidth="1"/>
    <col min="10247" max="10247" width="0.42578125" style="10" customWidth="1"/>
    <col min="10248" max="10248" width="10.5703125" style="10" bestFit="1" customWidth="1"/>
    <col min="10249" max="10249" width="12.28515625" style="10" customWidth="1"/>
    <col min="10250" max="10250" width="12.5703125" style="10" customWidth="1"/>
    <col min="10251" max="10251" width="10.5703125" style="10" customWidth="1"/>
    <col min="10252" max="10252" width="10.140625" style="10" customWidth="1"/>
    <col min="10253" max="10253" width="8.42578125" style="10" customWidth="1"/>
    <col min="10254" max="10254" width="18.85546875" style="10" customWidth="1"/>
    <col min="10255" max="10255" width="10.28515625" style="10" customWidth="1"/>
    <col min="10256" max="10256" width="11.42578125" style="10"/>
    <col min="10257" max="10257" width="12.140625" style="10" customWidth="1"/>
    <col min="10258" max="10258" width="10.5703125" style="10" customWidth="1"/>
    <col min="10259" max="10259" width="12.42578125" style="10" customWidth="1"/>
    <col min="10260" max="10260" width="15.140625" style="10" customWidth="1"/>
    <col min="10261" max="10261" width="13.5703125" style="10" customWidth="1"/>
    <col min="10262" max="10262" width="13.140625" style="10" customWidth="1"/>
    <col min="10263" max="10263" width="15.7109375" style="10" customWidth="1"/>
    <col min="10264" max="10264" width="37.5703125" style="10" customWidth="1"/>
    <col min="10265" max="10486" width="11.42578125" style="10"/>
    <col min="10487" max="10487" width="10.5703125" style="10" customWidth="1"/>
    <col min="10488" max="10488" width="4.85546875" style="10" customWidth="1"/>
    <col min="10489" max="10489" width="32.42578125" style="10" customWidth="1"/>
    <col min="10490" max="10490" width="9.85546875" style="10" customWidth="1"/>
    <col min="10491" max="10491" width="10.140625" style="10" customWidth="1"/>
    <col min="10492" max="10492" width="12.28515625" style="10" customWidth="1"/>
    <col min="10493" max="10493" width="15.42578125" style="10" customWidth="1"/>
    <col min="10494" max="10494" width="11.85546875" style="10" customWidth="1"/>
    <col min="10495" max="10495" width="13.28515625" style="10" customWidth="1"/>
    <col min="10496" max="10496" width="15.28515625" style="10" customWidth="1"/>
    <col min="10497" max="10497" width="11.85546875" style="10" customWidth="1"/>
    <col min="10498" max="10498" width="6.140625" style="10" customWidth="1"/>
    <col min="10499" max="10499" width="11.85546875" style="10" customWidth="1"/>
    <col min="10500" max="10500" width="9.42578125" style="10" customWidth="1"/>
    <col min="10501" max="10501" width="14.7109375" style="10" customWidth="1"/>
    <col min="10502" max="10502" width="11.5703125" style="10" customWidth="1"/>
    <col min="10503" max="10503" width="0.42578125" style="10" customWidth="1"/>
    <col min="10504" max="10504" width="10.5703125" style="10" bestFit="1" customWidth="1"/>
    <col min="10505" max="10505" width="12.28515625" style="10" customWidth="1"/>
    <col min="10506" max="10506" width="12.5703125" style="10" customWidth="1"/>
    <col min="10507" max="10507" width="10.5703125" style="10" customWidth="1"/>
    <col min="10508" max="10508" width="10.140625" style="10" customWidth="1"/>
    <col min="10509" max="10509" width="8.42578125" style="10" customWidth="1"/>
    <col min="10510" max="10510" width="18.85546875" style="10" customWidth="1"/>
    <col min="10511" max="10511" width="10.28515625" style="10" customWidth="1"/>
    <col min="10512" max="10512" width="11.42578125" style="10"/>
    <col min="10513" max="10513" width="12.140625" style="10" customWidth="1"/>
    <col min="10514" max="10514" width="10.5703125" style="10" customWidth="1"/>
    <col min="10515" max="10515" width="12.42578125" style="10" customWidth="1"/>
    <col min="10516" max="10516" width="15.140625" style="10" customWidth="1"/>
    <col min="10517" max="10517" width="13.5703125" style="10" customWidth="1"/>
    <col min="10518" max="10518" width="13.140625" style="10" customWidth="1"/>
    <col min="10519" max="10519" width="15.7109375" style="10" customWidth="1"/>
    <col min="10520" max="10520" width="37.5703125" style="10" customWidth="1"/>
    <col min="10521" max="10742" width="11.42578125" style="10"/>
    <col min="10743" max="10743" width="10.5703125" style="10" customWidth="1"/>
    <col min="10744" max="10744" width="4.85546875" style="10" customWidth="1"/>
    <col min="10745" max="10745" width="32.42578125" style="10" customWidth="1"/>
    <col min="10746" max="10746" width="9.85546875" style="10" customWidth="1"/>
    <col min="10747" max="10747" width="10.140625" style="10" customWidth="1"/>
    <col min="10748" max="10748" width="12.28515625" style="10" customWidth="1"/>
    <col min="10749" max="10749" width="15.42578125" style="10" customWidth="1"/>
    <col min="10750" max="10750" width="11.85546875" style="10" customWidth="1"/>
    <col min="10751" max="10751" width="13.28515625" style="10" customWidth="1"/>
    <col min="10752" max="10752" width="15.28515625" style="10" customWidth="1"/>
    <col min="10753" max="10753" width="11.85546875" style="10" customWidth="1"/>
    <col min="10754" max="10754" width="6.140625" style="10" customWidth="1"/>
    <col min="10755" max="10755" width="11.85546875" style="10" customWidth="1"/>
    <col min="10756" max="10756" width="9.42578125" style="10" customWidth="1"/>
    <col min="10757" max="10757" width="14.7109375" style="10" customWidth="1"/>
    <col min="10758" max="10758" width="11.5703125" style="10" customWidth="1"/>
    <col min="10759" max="10759" width="0.42578125" style="10" customWidth="1"/>
    <col min="10760" max="10760" width="10.5703125" style="10" bestFit="1" customWidth="1"/>
    <col min="10761" max="10761" width="12.28515625" style="10" customWidth="1"/>
    <col min="10762" max="10762" width="12.5703125" style="10" customWidth="1"/>
    <col min="10763" max="10763" width="10.5703125" style="10" customWidth="1"/>
    <col min="10764" max="10764" width="10.140625" style="10" customWidth="1"/>
    <col min="10765" max="10765" width="8.42578125" style="10" customWidth="1"/>
    <col min="10766" max="10766" width="18.85546875" style="10" customWidth="1"/>
    <col min="10767" max="10767" width="10.28515625" style="10" customWidth="1"/>
    <col min="10768" max="10768" width="11.42578125" style="10"/>
    <col min="10769" max="10769" width="12.140625" style="10" customWidth="1"/>
    <col min="10770" max="10770" width="10.5703125" style="10" customWidth="1"/>
    <col min="10771" max="10771" width="12.42578125" style="10" customWidth="1"/>
    <col min="10772" max="10772" width="15.140625" style="10" customWidth="1"/>
    <col min="10773" max="10773" width="13.5703125" style="10" customWidth="1"/>
    <col min="10774" max="10774" width="13.140625" style="10" customWidth="1"/>
    <col min="10775" max="10775" width="15.7109375" style="10" customWidth="1"/>
    <col min="10776" max="10776" width="37.5703125" style="10" customWidth="1"/>
    <col min="10777" max="10998" width="11.42578125" style="10"/>
    <col min="10999" max="10999" width="10.5703125" style="10" customWidth="1"/>
    <col min="11000" max="11000" width="4.85546875" style="10" customWidth="1"/>
    <col min="11001" max="11001" width="32.42578125" style="10" customWidth="1"/>
    <col min="11002" max="11002" width="9.85546875" style="10" customWidth="1"/>
    <col min="11003" max="11003" width="10.140625" style="10" customWidth="1"/>
    <col min="11004" max="11004" width="12.28515625" style="10" customWidth="1"/>
    <col min="11005" max="11005" width="15.42578125" style="10" customWidth="1"/>
    <col min="11006" max="11006" width="11.85546875" style="10" customWidth="1"/>
    <col min="11007" max="11007" width="13.28515625" style="10" customWidth="1"/>
    <col min="11008" max="11008" width="15.28515625" style="10" customWidth="1"/>
    <col min="11009" max="11009" width="11.85546875" style="10" customWidth="1"/>
    <col min="11010" max="11010" width="6.140625" style="10" customWidth="1"/>
    <col min="11011" max="11011" width="11.85546875" style="10" customWidth="1"/>
    <col min="11012" max="11012" width="9.42578125" style="10" customWidth="1"/>
    <col min="11013" max="11013" width="14.7109375" style="10" customWidth="1"/>
    <col min="11014" max="11014" width="11.5703125" style="10" customWidth="1"/>
    <col min="11015" max="11015" width="0.42578125" style="10" customWidth="1"/>
    <col min="11016" max="11016" width="10.5703125" style="10" bestFit="1" customWidth="1"/>
    <col min="11017" max="11017" width="12.28515625" style="10" customWidth="1"/>
    <col min="11018" max="11018" width="12.5703125" style="10" customWidth="1"/>
    <col min="11019" max="11019" width="10.5703125" style="10" customWidth="1"/>
    <col min="11020" max="11020" width="10.140625" style="10" customWidth="1"/>
    <col min="11021" max="11021" width="8.42578125" style="10" customWidth="1"/>
    <col min="11022" max="11022" width="18.85546875" style="10" customWidth="1"/>
    <col min="11023" max="11023" width="10.28515625" style="10" customWidth="1"/>
    <col min="11024" max="11024" width="11.42578125" style="10"/>
    <col min="11025" max="11025" width="12.140625" style="10" customWidth="1"/>
    <col min="11026" max="11026" width="10.5703125" style="10" customWidth="1"/>
    <col min="11027" max="11027" width="12.42578125" style="10" customWidth="1"/>
    <col min="11028" max="11028" width="15.140625" style="10" customWidth="1"/>
    <col min="11029" max="11029" width="13.5703125" style="10" customWidth="1"/>
    <col min="11030" max="11030" width="13.140625" style="10" customWidth="1"/>
    <col min="11031" max="11031" width="15.7109375" style="10" customWidth="1"/>
    <col min="11032" max="11032" width="37.5703125" style="10" customWidth="1"/>
    <col min="11033" max="11254" width="11.42578125" style="10"/>
    <col min="11255" max="11255" width="10.5703125" style="10" customWidth="1"/>
    <col min="11256" max="11256" width="4.85546875" style="10" customWidth="1"/>
    <col min="11257" max="11257" width="32.42578125" style="10" customWidth="1"/>
    <col min="11258" max="11258" width="9.85546875" style="10" customWidth="1"/>
    <col min="11259" max="11259" width="10.140625" style="10" customWidth="1"/>
    <col min="11260" max="11260" width="12.28515625" style="10" customWidth="1"/>
    <col min="11261" max="11261" width="15.42578125" style="10" customWidth="1"/>
    <col min="11262" max="11262" width="11.85546875" style="10" customWidth="1"/>
    <col min="11263" max="11263" width="13.28515625" style="10" customWidth="1"/>
    <col min="11264" max="11264" width="15.28515625" style="10" customWidth="1"/>
    <col min="11265" max="11265" width="11.85546875" style="10" customWidth="1"/>
    <col min="11266" max="11266" width="6.140625" style="10" customWidth="1"/>
    <col min="11267" max="11267" width="11.85546875" style="10" customWidth="1"/>
    <col min="11268" max="11268" width="9.42578125" style="10" customWidth="1"/>
    <col min="11269" max="11269" width="14.7109375" style="10" customWidth="1"/>
    <col min="11270" max="11270" width="11.5703125" style="10" customWidth="1"/>
    <col min="11271" max="11271" width="0.42578125" style="10" customWidth="1"/>
    <col min="11272" max="11272" width="10.5703125" style="10" bestFit="1" customWidth="1"/>
    <col min="11273" max="11273" width="12.28515625" style="10" customWidth="1"/>
    <col min="11274" max="11274" width="12.5703125" style="10" customWidth="1"/>
    <col min="11275" max="11275" width="10.5703125" style="10" customWidth="1"/>
    <col min="11276" max="11276" width="10.140625" style="10" customWidth="1"/>
    <col min="11277" max="11277" width="8.42578125" style="10" customWidth="1"/>
    <col min="11278" max="11278" width="18.85546875" style="10" customWidth="1"/>
    <col min="11279" max="11279" width="10.28515625" style="10" customWidth="1"/>
    <col min="11280" max="11280" width="11.42578125" style="10"/>
    <col min="11281" max="11281" width="12.140625" style="10" customWidth="1"/>
    <col min="11282" max="11282" width="10.5703125" style="10" customWidth="1"/>
    <col min="11283" max="11283" width="12.42578125" style="10" customWidth="1"/>
    <col min="11284" max="11284" width="15.140625" style="10" customWidth="1"/>
    <col min="11285" max="11285" width="13.5703125" style="10" customWidth="1"/>
    <col min="11286" max="11286" width="13.140625" style="10" customWidth="1"/>
    <col min="11287" max="11287" width="15.7109375" style="10" customWidth="1"/>
    <col min="11288" max="11288" width="37.5703125" style="10" customWidth="1"/>
    <col min="11289" max="11510" width="11.42578125" style="10"/>
    <col min="11511" max="11511" width="10.5703125" style="10" customWidth="1"/>
    <col min="11512" max="11512" width="4.85546875" style="10" customWidth="1"/>
    <col min="11513" max="11513" width="32.42578125" style="10" customWidth="1"/>
    <col min="11514" max="11514" width="9.85546875" style="10" customWidth="1"/>
    <col min="11515" max="11515" width="10.140625" style="10" customWidth="1"/>
    <col min="11516" max="11516" width="12.28515625" style="10" customWidth="1"/>
    <col min="11517" max="11517" width="15.42578125" style="10" customWidth="1"/>
    <col min="11518" max="11518" width="11.85546875" style="10" customWidth="1"/>
    <col min="11519" max="11519" width="13.28515625" style="10" customWidth="1"/>
    <col min="11520" max="11520" width="15.28515625" style="10" customWidth="1"/>
    <col min="11521" max="11521" width="11.85546875" style="10" customWidth="1"/>
    <col min="11522" max="11522" width="6.140625" style="10" customWidth="1"/>
    <col min="11523" max="11523" width="11.85546875" style="10" customWidth="1"/>
    <col min="11524" max="11524" width="9.42578125" style="10" customWidth="1"/>
    <col min="11525" max="11525" width="14.7109375" style="10" customWidth="1"/>
    <col min="11526" max="11526" width="11.5703125" style="10" customWidth="1"/>
    <col min="11527" max="11527" width="0.42578125" style="10" customWidth="1"/>
    <col min="11528" max="11528" width="10.5703125" style="10" bestFit="1" customWidth="1"/>
    <col min="11529" max="11529" width="12.28515625" style="10" customWidth="1"/>
    <col min="11530" max="11530" width="12.5703125" style="10" customWidth="1"/>
    <col min="11531" max="11531" width="10.5703125" style="10" customWidth="1"/>
    <col min="11532" max="11532" width="10.140625" style="10" customWidth="1"/>
    <col min="11533" max="11533" width="8.42578125" style="10" customWidth="1"/>
    <col min="11534" max="11534" width="18.85546875" style="10" customWidth="1"/>
    <col min="11535" max="11535" width="10.28515625" style="10" customWidth="1"/>
    <col min="11536" max="11536" width="11.42578125" style="10"/>
    <col min="11537" max="11537" width="12.140625" style="10" customWidth="1"/>
    <col min="11538" max="11538" width="10.5703125" style="10" customWidth="1"/>
    <col min="11539" max="11539" width="12.42578125" style="10" customWidth="1"/>
    <col min="11540" max="11540" width="15.140625" style="10" customWidth="1"/>
    <col min="11541" max="11541" width="13.5703125" style="10" customWidth="1"/>
    <col min="11542" max="11542" width="13.140625" style="10" customWidth="1"/>
    <col min="11543" max="11543" width="15.7109375" style="10" customWidth="1"/>
    <col min="11544" max="11544" width="37.5703125" style="10" customWidth="1"/>
    <col min="11545" max="11766" width="11.42578125" style="10"/>
    <col min="11767" max="11767" width="10.5703125" style="10" customWidth="1"/>
    <col min="11768" max="11768" width="4.85546875" style="10" customWidth="1"/>
    <col min="11769" max="11769" width="32.42578125" style="10" customWidth="1"/>
    <col min="11770" max="11770" width="9.85546875" style="10" customWidth="1"/>
    <col min="11771" max="11771" width="10.140625" style="10" customWidth="1"/>
    <col min="11772" max="11772" width="12.28515625" style="10" customWidth="1"/>
    <col min="11773" max="11773" width="15.42578125" style="10" customWidth="1"/>
    <col min="11774" max="11774" width="11.85546875" style="10" customWidth="1"/>
    <col min="11775" max="11775" width="13.28515625" style="10" customWidth="1"/>
    <col min="11776" max="11776" width="15.28515625" style="10" customWidth="1"/>
    <col min="11777" max="11777" width="11.85546875" style="10" customWidth="1"/>
    <col min="11778" max="11778" width="6.140625" style="10" customWidth="1"/>
    <col min="11779" max="11779" width="11.85546875" style="10" customWidth="1"/>
    <col min="11780" max="11780" width="9.42578125" style="10" customWidth="1"/>
    <col min="11781" max="11781" width="14.7109375" style="10" customWidth="1"/>
    <col min="11782" max="11782" width="11.5703125" style="10" customWidth="1"/>
    <col min="11783" max="11783" width="0.42578125" style="10" customWidth="1"/>
    <col min="11784" max="11784" width="10.5703125" style="10" bestFit="1" customWidth="1"/>
    <col min="11785" max="11785" width="12.28515625" style="10" customWidth="1"/>
    <col min="11786" max="11786" width="12.5703125" style="10" customWidth="1"/>
    <col min="11787" max="11787" width="10.5703125" style="10" customWidth="1"/>
    <col min="11788" max="11788" width="10.140625" style="10" customWidth="1"/>
    <col min="11789" max="11789" width="8.42578125" style="10" customWidth="1"/>
    <col min="11790" max="11790" width="18.85546875" style="10" customWidth="1"/>
    <col min="11791" max="11791" width="10.28515625" style="10" customWidth="1"/>
    <col min="11792" max="11792" width="11.42578125" style="10"/>
    <col min="11793" max="11793" width="12.140625" style="10" customWidth="1"/>
    <col min="11794" max="11794" width="10.5703125" style="10" customWidth="1"/>
    <col min="11795" max="11795" width="12.42578125" style="10" customWidth="1"/>
    <col min="11796" max="11796" width="15.140625" style="10" customWidth="1"/>
    <col min="11797" max="11797" width="13.5703125" style="10" customWidth="1"/>
    <col min="11798" max="11798" width="13.140625" style="10" customWidth="1"/>
    <col min="11799" max="11799" width="15.7109375" style="10" customWidth="1"/>
    <col min="11800" max="11800" width="37.5703125" style="10" customWidth="1"/>
    <col min="11801" max="12022" width="11.42578125" style="10"/>
    <col min="12023" max="12023" width="10.5703125" style="10" customWidth="1"/>
    <col min="12024" max="12024" width="4.85546875" style="10" customWidth="1"/>
    <col min="12025" max="12025" width="32.42578125" style="10" customWidth="1"/>
    <col min="12026" max="12026" width="9.85546875" style="10" customWidth="1"/>
    <col min="12027" max="12027" width="10.140625" style="10" customWidth="1"/>
    <col min="12028" max="12028" width="12.28515625" style="10" customWidth="1"/>
    <col min="12029" max="12029" width="15.42578125" style="10" customWidth="1"/>
    <col min="12030" max="12030" width="11.85546875" style="10" customWidth="1"/>
    <col min="12031" max="12031" width="13.28515625" style="10" customWidth="1"/>
    <col min="12032" max="12032" width="15.28515625" style="10" customWidth="1"/>
    <col min="12033" max="12033" width="11.85546875" style="10" customWidth="1"/>
    <col min="12034" max="12034" width="6.140625" style="10" customWidth="1"/>
    <col min="12035" max="12035" width="11.85546875" style="10" customWidth="1"/>
    <col min="12036" max="12036" width="9.42578125" style="10" customWidth="1"/>
    <col min="12037" max="12037" width="14.7109375" style="10" customWidth="1"/>
    <col min="12038" max="12038" width="11.5703125" style="10" customWidth="1"/>
    <col min="12039" max="12039" width="0.42578125" style="10" customWidth="1"/>
    <col min="12040" max="12040" width="10.5703125" style="10" bestFit="1" customWidth="1"/>
    <col min="12041" max="12041" width="12.28515625" style="10" customWidth="1"/>
    <col min="12042" max="12042" width="12.5703125" style="10" customWidth="1"/>
    <col min="12043" max="12043" width="10.5703125" style="10" customWidth="1"/>
    <col min="12044" max="12044" width="10.140625" style="10" customWidth="1"/>
    <col min="12045" max="12045" width="8.42578125" style="10" customWidth="1"/>
    <col min="12046" max="12046" width="18.85546875" style="10" customWidth="1"/>
    <col min="12047" max="12047" width="10.28515625" style="10" customWidth="1"/>
    <col min="12048" max="12048" width="11.42578125" style="10"/>
    <col min="12049" max="12049" width="12.140625" style="10" customWidth="1"/>
    <col min="12050" max="12050" width="10.5703125" style="10" customWidth="1"/>
    <col min="12051" max="12051" width="12.42578125" style="10" customWidth="1"/>
    <col min="12052" max="12052" width="15.140625" style="10" customWidth="1"/>
    <col min="12053" max="12053" width="13.5703125" style="10" customWidth="1"/>
    <col min="12054" max="12054" width="13.140625" style="10" customWidth="1"/>
    <col min="12055" max="12055" width="15.7109375" style="10" customWidth="1"/>
    <col min="12056" max="12056" width="37.5703125" style="10" customWidth="1"/>
    <col min="12057" max="12278" width="11.42578125" style="10"/>
    <col min="12279" max="12279" width="10.5703125" style="10" customWidth="1"/>
    <col min="12280" max="12280" width="4.85546875" style="10" customWidth="1"/>
    <col min="12281" max="12281" width="32.42578125" style="10" customWidth="1"/>
    <col min="12282" max="12282" width="9.85546875" style="10" customWidth="1"/>
    <col min="12283" max="12283" width="10.140625" style="10" customWidth="1"/>
    <col min="12284" max="12284" width="12.28515625" style="10" customWidth="1"/>
    <col min="12285" max="12285" width="15.42578125" style="10" customWidth="1"/>
    <col min="12286" max="12286" width="11.85546875" style="10" customWidth="1"/>
    <col min="12287" max="12287" width="13.28515625" style="10" customWidth="1"/>
    <col min="12288" max="12288" width="15.28515625" style="10" customWidth="1"/>
    <col min="12289" max="12289" width="11.85546875" style="10" customWidth="1"/>
    <col min="12290" max="12290" width="6.140625" style="10" customWidth="1"/>
    <col min="12291" max="12291" width="11.85546875" style="10" customWidth="1"/>
    <col min="12292" max="12292" width="9.42578125" style="10" customWidth="1"/>
    <col min="12293" max="12293" width="14.7109375" style="10" customWidth="1"/>
    <col min="12294" max="12294" width="11.5703125" style="10" customWidth="1"/>
    <col min="12295" max="12295" width="0.42578125" style="10" customWidth="1"/>
    <col min="12296" max="12296" width="10.5703125" style="10" bestFit="1" customWidth="1"/>
    <col min="12297" max="12297" width="12.28515625" style="10" customWidth="1"/>
    <col min="12298" max="12298" width="12.5703125" style="10" customWidth="1"/>
    <col min="12299" max="12299" width="10.5703125" style="10" customWidth="1"/>
    <col min="12300" max="12300" width="10.140625" style="10" customWidth="1"/>
    <col min="12301" max="12301" width="8.42578125" style="10" customWidth="1"/>
    <col min="12302" max="12302" width="18.85546875" style="10" customWidth="1"/>
    <col min="12303" max="12303" width="10.28515625" style="10" customWidth="1"/>
    <col min="12304" max="12304" width="11.42578125" style="10"/>
    <col min="12305" max="12305" width="12.140625" style="10" customWidth="1"/>
    <col min="12306" max="12306" width="10.5703125" style="10" customWidth="1"/>
    <col min="12307" max="12307" width="12.42578125" style="10" customWidth="1"/>
    <col min="12308" max="12308" width="15.140625" style="10" customWidth="1"/>
    <col min="12309" max="12309" width="13.5703125" style="10" customWidth="1"/>
    <col min="12310" max="12310" width="13.140625" style="10" customWidth="1"/>
    <col min="12311" max="12311" width="15.7109375" style="10" customWidth="1"/>
    <col min="12312" max="12312" width="37.5703125" style="10" customWidth="1"/>
    <col min="12313" max="12534" width="11.42578125" style="10"/>
    <col min="12535" max="12535" width="10.5703125" style="10" customWidth="1"/>
    <col min="12536" max="12536" width="4.85546875" style="10" customWidth="1"/>
    <col min="12537" max="12537" width="32.42578125" style="10" customWidth="1"/>
    <col min="12538" max="12538" width="9.85546875" style="10" customWidth="1"/>
    <col min="12539" max="12539" width="10.140625" style="10" customWidth="1"/>
    <col min="12540" max="12540" width="12.28515625" style="10" customWidth="1"/>
    <col min="12541" max="12541" width="15.42578125" style="10" customWidth="1"/>
    <col min="12542" max="12542" width="11.85546875" style="10" customWidth="1"/>
    <col min="12543" max="12543" width="13.28515625" style="10" customWidth="1"/>
    <col min="12544" max="12544" width="15.28515625" style="10" customWidth="1"/>
    <col min="12545" max="12545" width="11.85546875" style="10" customWidth="1"/>
    <col min="12546" max="12546" width="6.140625" style="10" customWidth="1"/>
    <col min="12547" max="12547" width="11.85546875" style="10" customWidth="1"/>
    <col min="12548" max="12548" width="9.42578125" style="10" customWidth="1"/>
    <col min="12549" max="12549" width="14.7109375" style="10" customWidth="1"/>
    <col min="12550" max="12550" width="11.5703125" style="10" customWidth="1"/>
    <col min="12551" max="12551" width="0.42578125" style="10" customWidth="1"/>
    <col min="12552" max="12552" width="10.5703125" style="10" bestFit="1" customWidth="1"/>
    <col min="12553" max="12553" width="12.28515625" style="10" customWidth="1"/>
    <col min="12554" max="12554" width="12.5703125" style="10" customWidth="1"/>
    <col min="12555" max="12555" width="10.5703125" style="10" customWidth="1"/>
    <col min="12556" max="12556" width="10.140625" style="10" customWidth="1"/>
    <col min="12557" max="12557" width="8.42578125" style="10" customWidth="1"/>
    <col min="12558" max="12558" width="18.85546875" style="10" customWidth="1"/>
    <col min="12559" max="12559" width="10.28515625" style="10" customWidth="1"/>
    <col min="12560" max="12560" width="11.42578125" style="10"/>
    <col min="12561" max="12561" width="12.140625" style="10" customWidth="1"/>
    <col min="12562" max="12562" width="10.5703125" style="10" customWidth="1"/>
    <col min="12563" max="12563" width="12.42578125" style="10" customWidth="1"/>
    <col min="12564" max="12564" width="15.140625" style="10" customWidth="1"/>
    <col min="12565" max="12565" width="13.5703125" style="10" customWidth="1"/>
    <col min="12566" max="12566" width="13.140625" style="10" customWidth="1"/>
    <col min="12567" max="12567" width="15.7109375" style="10" customWidth="1"/>
    <col min="12568" max="12568" width="37.5703125" style="10" customWidth="1"/>
    <col min="12569" max="12790" width="11.42578125" style="10"/>
    <col min="12791" max="12791" width="10.5703125" style="10" customWidth="1"/>
    <col min="12792" max="12792" width="4.85546875" style="10" customWidth="1"/>
    <col min="12793" max="12793" width="32.42578125" style="10" customWidth="1"/>
    <col min="12794" max="12794" width="9.85546875" style="10" customWidth="1"/>
    <col min="12795" max="12795" width="10.140625" style="10" customWidth="1"/>
    <col min="12796" max="12796" width="12.28515625" style="10" customWidth="1"/>
    <col min="12797" max="12797" width="15.42578125" style="10" customWidth="1"/>
    <col min="12798" max="12798" width="11.85546875" style="10" customWidth="1"/>
    <col min="12799" max="12799" width="13.28515625" style="10" customWidth="1"/>
    <col min="12800" max="12800" width="15.28515625" style="10" customWidth="1"/>
    <col min="12801" max="12801" width="11.85546875" style="10" customWidth="1"/>
    <col min="12802" max="12802" width="6.140625" style="10" customWidth="1"/>
    <col min="12803" max="12803" width="11.85546875" style="10" customWidth="1"/>
    <col min="12804" max="12804" width="9.42578125" style="10" customWidth="1"/>
    <col min="12805" max="12805" width="14.7109375" style="10" customWidth="1"/>
    <col min="12806" max="12806" width="11.5703125" style="10" customWidth="1"/>
    <col min="12807" max="12807" width="0.42578125" style="10" customWidth="1"/>
    <col min="12808" max="12808" width="10.5703125" style="10" bestFit="1" customWidth="1"/>
    <col min="12809" max="12809" width="12.28515625" style="10" customWidth="1"/>
    <col min="12810" max="12810" width="12.5703125" style="10" customWidth="1"/>
    <col min="12811" max="12811" width="10.5703125" style="10" customWidth="1"/>
    <col min="12812" max="12812" width="10.140625" style="10" customWidth="1"/>
    <col min="12813" max="12813" width="8.42578125" style="10" customWidth="1"/>
    <col min="12814" max="12814" width="18.85546875" style="10" customWidth="1"/>
    <col min="12815" max="12815" width="10.28515625" style="10" customWidth="1"/>
    <col min="12816" max="12816" width="11.42578125" style="10"/>
    <col min="12817" max="12817" width="12.140625" style="10" customWidth="1"/>
    <col min="12818" max="12818" width="10.5703125" style="10" customWidth="1"/>
    <col min="12819" max="12819" width="12.42578125" style="10" customWidth="1"/>
    <col min="12820" max="12820" width="15.140625" style="10" customWidth="1"/>
    <col min="12821" max="12821" width="13.5703125" style="10" customWidth="1"/>
    <col min="12822" max="12822" width="13.140625" style="10" customWidth="1"/>
    <col min="12823" max="12823" width="15.7109375" style="10" customWidth="1"/>
    <col min="12824" max="12824" width="37.5703125" style="10" customWidth="1"/>
    <col min="12825" max="13046" width="11.42578125" style="10"/>
    <col min="13047" max="13047" width="10.5703125" style="10" customWidth="1"/>
    <col min="13048" max="13048" width="4.85546875" style="10" customWidth="1"/>
    <col min="13049" max="13049" width="32.42578125" style="10" customWidth="1"/>
    <col min="13050" max="13050" width="9.85546875" style="10" customWidth="1"/>
    <col min="13051" max="13051" width="10.140625" style="10" customWidth="1"/>
    <col min="13052" max="13052" width="12.28515625" style="10" customWidth="1"/>
    <col min="13053" max="13053" width="15.42578125" style="10" customWidth="1"/>
    <col min="13054" max="13054" width="11.85546875" style="10" customWidth="1"/>
    <col min="13055" max="13055" width="13.28515625" style="10" customWidth="1"/>
    <col min="13056" max="13056" width="15.28515625" style="10" customWidth="1"/>
    <col min="13057" max="13057" width="11.85546875" style="10" customWidth="1"/>
    <col min="13058" max="13058" width="6.140625" style="10" customWidth="1"/>
    <col min="13059" max="13059" width="11.85546875" style="10" customWidth="1"/>
    <col min="13060" max="13060" width="9.42578125" style="10" customWidth="1"/>
    <col min="13061" max="13061" width="14.7109375" style="10" customWidth="1"/>
    <col min="13062" max="13062" width="11.5703125" style="10" customWidth="1"/>
    <col min="13063" max="13063" width="0.42578125" style="10" customWidth="1"/>
    <col min="13064" max="13064" width="10.5703125" style="10" bestFit="1" customWidth="1"/>
    <col min="13065" max="13065" width="12.28515625" style="10" customWidth="1"/>
    <col min="13066" max="13066" width="12.5703125" style="10" customWidth="1"/>
    <col min="13067" max="13067" width="10.5703125" style="10" customWidth="1"/>
    <col min="13068" max="13068" width="10.140625" style="10" customWidth="1"/>
    <col min="13069" max="13069" width="8.42578125" style="10" customWidth="1"/>
    <col min="13070" max="13070" width="18.85546875" style="10" customWidth="1"/>
    <col min="13071" max="13071" width="10.28515625" style="10" customWidth="1"/>
    <col min="13072" max="13072" width="11.42578125" style="10"/>
    <col min="13073" max="13073" width="12.140625" style="10" customWidth="1"/>
    <col min="13074" max="13074" width="10.5703125" style="10" customWidth="1"/>
    <col min="13075" max="13075" width="12.42578125" style="10" customWidth="1"/>
    <col min="13076" max="13076" width="15.140625" style="10" customWidth="1"/>
    <col min="13077" max="13077" width="13.5703125" style="10" customWidth="1"/>
    <col min="13078" max="13078" width="13.140625" style="10" customWidth="1"/>
    <col min="13079" max="13079" width="15.7109375" style="10" customWidth="1"/>
    <col min="13080" max="13080" width="37.5703125" style="10" customWidth="1"/>
    <col min="13081" max="13302" width="11.42578125" style="10"/>
    <col min="13303" max="13303" width="10.5703125" style="10" customWidth="1"/>
    <col min="13304" max="13304" width="4.85546875" style="10" customWidth="1"/>
    <col min="13305" max="13305" width="32.42578125" style="10" customWidth="1"/>
    <col min="13306" max="13306" width="9.85546875" style="10" customWidth="1"/>
    <col min="13307" max="13307" width="10.140625" style="10" customWidth="1"/>
    <col min="13308" max="13308" width="12.28515625" style="10" customWidth="1"/>
    <col min="13309" max="13309" width="15.42578125" style="10" customWidth="1"/>
    <col min="13310" max="13310" width="11.85546875" style="10" customWidth="1"/>
    <col min="13311" max="13311" width="13.28515625" style="10" customWidth="1"/>
    <col min="13312" max="13312" width="15.28515625" style="10" customWidth="1"/>
    <col min="13313" max="13313" width="11.85546875" style="10" customWidth="1"/>
    <col min="13314" max="13314" width="6.140625" style="10" customWidth="1"/>
    <col min="13315" max="13315" width="11.85546875" style="10" customWidth="1"/>
    <col min="13316" max="13316" width="9.42578125" style="10" customWidth="1"/>
    <col min="13317" max="13317" width="14.7109375" style="10" customWidth="1"/>
    <col min="13318" max="13318" width="11.5703125" style="10" customWidth="1"/>
    <col min="13319" max="13319" width="0.42578125" style="10" customWidth="1"/>
    <col min="13320" max="13320" width="10.5703125" style="10" bestFit="1" customWidth="1"/>
    <col min="13321" max="13321" width="12.28515625" style="10" customWidth="1"/>
    <col min="13322" max="13322" width="12.5703125" style="10" customWidth="1"/>
    <col min="13323" max="13323" width="10.5703125" style="10" customWidth="1"/>
    <col min="13324" max="13324" width="10.140625" style="10" customWidth="1"/>
    <col min="13325" max="13325" width="8.42578125" style="10" customWidth="1"/>
    <col min="13326" max="13326" width="18.85546875" style="10" customWidth="1"/>
    <col min="13327" max="13327" width="10.28515625" style="10" customWidth="1"/>
    <col min="13328" max="13328" width="11.42578125" style="10"/>
    <col min="13329" max="13329" width="12.140625" style="10" customWidth="1"/>
    <col min="13330" max="13330" width="10.5703125" style="10" customWidth="1"/>
    <col min="13331" max="13331" width="12.42578125" style="10" customWidth="1"/>
    <col min="13332" max="13332" width="15.140625" style="10" customWidth="1"/>
    <col min="13333" max="13333" width="13.5703125" style="10" customWidth="1"/>
    <col min="13334" max="13334" width="13.140625" style="10" customWidth="1"/>
    <col min="13335" max="13335" width="15.7109375" style="10" customWidth="1"/>
    <col min="13336" max="13336" width="37.5703125" style="10" customWidth="1"/>
    <col min="13337" max="13558" width="11.42578125" style="10"/>
    <col min="13559" max="13559" width="10.5703125" style="10" customWidth="1"/>
    <col min="13560" max="13560" width="4.85546875" style="10" customWidth="1"/>
    <col min="13561" max="13561" width="32.42578125" style="10" customWidth="1"/>
    <col min="13562" max="13562" width="9.85546875" style="10" customWidth="1"/>
    <col min="13563" max="13563" width="10.140625" style="10" customWidth="1"/>
    <col min="13564" max="13564" width="12.28515625" style="10" customWidth="1"/>
    <col min="13565" max="13565" width="15.42578125" style="10" customWidth="1"/>
    <col min="13566" max="13566" width="11.85546875" style="10" customWidth="1"/>
    <col min="13567" max="13567" width="13.28515625" style="10" customWidth="1"/>
    <col min="13568" max="13568" width="15.28515625" style="10" customWidth="1"/>
    <col min="13569" max="13569" width="11.85546875" style="10" customWidth="1"/>
    <col min="13570" max="13570" width="6.140625" style="10" customWidth="1"/>
    <col min="13571" max="13571" width="11.85546875" style="10" customWidth="1"/>
    <col min="13572" max="13572" width="9.42578125" style="10" customWidth="1"/>
    <col min="13573" max="13573" width="14.7109375" style="10" customWidth="1"/>
    <col min="13574" max="13574" width="11.5703125" style="10" customWidth="1"/>
    <col min="13575" max="13575" width="0.42578125" style="10" customWidth="1"/>
    <col min="13576" max="13576" width="10.5703125" style="10" bestFit="1" customWidth="1"/>
    <col min="13577" max="13577" width="12.28515625" style="10" customWidth="1"/>
    <col min="13578" max="13578" width="12.5703125" style="10" customWidth="1"/>
    <col min="13579" max="13579" width="10.5703125" style="10" customWidth="1"/>
    <col min="13580" max="13580" width="10.140625" style="10" customWidth="1"/>
    <col min="13581" max="13581" width="8.42578125" style="10" customWidth="1"/>
    <col min="13582" max="13582" width="18.85546875" style="10" customWidth="1"/>
    <col min="13583" max="13583" width="10.28515625" style="10" customWidth="1"/>
    <col min="13584" max="13584" width="11.42578125" style="10"/>
    <col min="13585" max="13585" width="12.140625" style="10" customWidth="1"/>
    <col min="13586" max="13586" width="10.5703125" style="10" customWidth="1"/>
    <col min="13587" max="13587" width="12.42578125" style="10" customWidth="1"/>
    <col min="13588" max="13588" width="15.140625" style="10" customWidth="1"/>
    <col min="13589" max="13589" width="13.5703125" style="10" customWidth="1"/>
    <col min="13590" max="13590" width="13.140625" style="10" customWidth="1"/>
    <col min="13591" max="13591" width="15.7109375" style="10" customWidth="1"/>
    <col min="13592" max="13592" width="37.5703125" style="10" customWidth="1"/>
    <col min="13593" max="13814" width="11.42578125" style="10"/>
    <col min="13815" max="13815" width="10.5703125" style="10" customWidth="1"/>
    <col min="13816" max="13816" width="4.85546875" style="10" customWidth="1"/>
    <col min="13817" max="13817" width="32.42578125" style="10" customWidth="1"/>
    <col min="13818" max="13818" width="9.85546875" style="10" customWidth="1"/>
    <col min="13819" max="13819" width="10.140625" style="10" customWidth="1"/>
    <col min="13820" max="13820" width="12.28515625" style="10" customWidth="1"/>
    <col min="13821" max="13821" width="15.42578125" style="10" customWidth="1"/>
    <col min="13822" max="13822" width="11.85546875" style="10" customWidth="1"/>
    <col min="13823" max="13823" width="13.28515625" style="10" customWidth="1"/>
    <col min="13824" max="13824" width="15.28515625" style="10" customWidth="1"/>
    <col min="13825" max="13825" width="11.85546875" style="10" customWidth="1"/>
    <col min="13826" max="13826" width="6.140625" style="10" customWidth="1"/>
    <col min="13827" max="13827" width="11.85546875" style="10" customWidth="1"/>
    <col min="13828" max="13828" width="9.42578125" style="10" customWidth="1"/>
    <col min="13829" max="13829" width="14.7109375" style="10" customWidth="1"/>
    <col min="13830" max="13830" width="11.5703125" style="10" customWidth="1"/>
    <col min="13831" max="13831" width="0.42578125" style="10" customWidth="1"/>
    <col min="13832" max="13832" width="10.5703125" style="10" bestFit="1" customWidth="1"/>
    <col min="13833" max="13833" width="12.28515625" style="10" customWidth="1"/>
    <col min="13834" max="13834" width="12.5703125" style="10" customWidth="1"/>
    <col min="13835" max="13835" width="10.5703125" style="10" customWidth="1"/>
    <col min="13836" max="13836" width="10.140625" style="10" customWidth="1"/>
    <col min="13837" max="13837" width="8.42578125" style="10" customWidth="1"/>
    <col min="13838" max="13838" width="18.85546875" style="10" customWidth="1"/>
    <col min="13839" max="13839" width="10.28515625" style="10" customWidth="1"/>
    <col min="13840" max="13840" width="11.42578125" style="10"/>
    <col min="13841" max="13841" width="12.140625" style="10" customWidth="1"/>
    <col min="13842" max="13842" width="10.5703125" style="10" customWidth="1"/>
    <col min="13843" max="13843" width="12.42578125" style="10" customWidth="1"/>
    <col min="13844" max="13844" width="15.140625" style="10" customWidth="1"/>
    <col min="13845" max="13845" width="13.5703125" style="10" customWidth="1"/>
    <col min="13846" max="13846" width="13.140625" style="10" customWidth="1"/>
    <col min="13847" max="13847" width="15.7109375" style="10" customWidth="1"/>
    <col min="13848" max="13848" width="37.5703125" style="10" customWidth="1"/>
    <col min="13849" max="14070" width="11.42578125" style="10"/>
    <col min="14071" max="14071" width="10.5703125" style="10" customWidth="1"/>
    <col min="14072" max="14072" width="4.85546875" style="10" customWidth="1"/>
    <col min="14073" max="14073" width="32.42578125" style="10" customWidth="1"/>
    <col min="14074" max="14074" width="9.85546875" style="10" customWidth="1"/>
    <col min="14075" max="14075" width="10.140625" style="10" customWidth="1"/>
    <col min="14076" max="14076" width="12.28515625" style="10" customWidth="1"/>
    <col min="14077" max="14077" width="15.42578125" style="10" customWidth="1"/>
    <col min="14078" max="14078" width="11.85546875" style="10" customWidth="1"/>
    <col min="14079" max="14079" width="13.28515625" style="10" customWidth="1"/>
    <col min="14080" max="14080" width="15.28515625" style="10" customWidth="1"/>
    <col min="14081" max="14081" width="11.85546875" style="10" customWidth="1"/>
    <col min="14082" max="14082" width="6.140625" style="10" customWidth="1"/>
    <col min="14083" max="14083" width="11.85546875" style="10" customWidth="1"/>
    <col min="14084" max="14084" width="9.42578125" style="10" customWidth="1"/>
    <col min="14085" max="14085" width="14.7109375" style="10" customWidth="1"/>
    <col min="14086" max="14086" width="11.5703125" style="10" customWidth="1"/>
    <col min="14087" max="14087" width="0.42578125" style="10" customWidth="1"/>
    <col min="14088" max="14088" width="10.5703125" style="10" bestFit="1" customWidth="1"/>
    <col min="14089" max="14089" width="12.28515625" style="10" customWidth="1"/>
    <col min="14090" max="14090" width="12.5703125" style="10" customWidth="1"/>
    <col min="14091" max="14091" width="10.5703125" style="10" customWidth="1"/>
    <col min="14092" max="14092" width="10.140625" style="10" customWidth="1"/>
    <col min="14093" max="14093" width="8.42578125" style="10" customWidth="1"/>
    <col min="14094" max="14094" width="18.85546875" style="10" customWidth="1"/>
    <col min="14095" max="14095" width="10.28515625" style="10" customWidth="1"/>
    <col min="14096" max="14096" width="11.42578125" style="10"/>
    <col min="14097" max="14097" width="12.140625" style="10" customWidth="1"/>
    <col min="14098" max="14098" width="10.5703125" style="10" customWidth="1"/>
    <col min="14099" max="14099" width="12.42578125" style="10" customWidth="1"/>
    <col min="14100" max="14100" width="15.140625" style="10" customWidth="1"/>
    <col min="14101" max="14101" width="13.5703125" style="10" customWidth="1"/>
    <col min="14102" max="14102" width="13.140625" style="10" customWidth="1"/>
    <col min="14103" max="14103" width="15.7109375" style="10" customWidth="1"/>
    <col min="14104" max="14104" width="37.5703125" style="10" customWidth="1"/>
    <col min="14105" max="14326" width="11.42578125" style="10"/>
    <col min="14327" max="14327" width="10.5703125" style="10" customWidth="1"/>
    <col min="14328" max="14328" width="4.85546875" style="10" customWidth="1"/>
    <col min="14329" max="14329" width="32.42578125" style="10" customWidth="1"/>
    <col min="14330" max="14330" width="9.85546875" style="10" customWidth="1"/>
    <col min="14331" max="14331" width="10.140625" style="10" customWidth="1"/>
    <col min="14332" max="14332" width="12.28515625" style="10" customWidth="1"/>
    <col min="14333" max="14333" width="15.42578125" style="10" customWidth="1"/>
    <col min="14334" max="14334" width="11.85546875" style="10" customWidth="1"/>
    <col min="14335" max="14335" width="13.28515625" style="10" customWidth="1"/>
    <col min="14336" max="14336" width="15.28515625" style="10" customWidth="1"/>
    <col min="14337" max="14337" width="11.85546875" style="10" customWidth="1"/>
    <col min="14338" max="14338" width="6.140625" style="10" customWidth="1"/>
    <col min="14339" max="14339" width="11.85546875" style="10" customWidth="1"/>
    <col min="14340" max="14340" width="9.42578125" style="10" customWidth="1"/>
    <col min="14341" max="14341" width="14.7109375" style="10" customWidth="1"/>
    <col min="14342" max="14342" width="11.5703125" style="10" customWidth="1"/>
    <col min="14343" max="14343" width="0.42578125" style="10" customWidth="1"/>
    <col min="14344" max="14344" width="10.5703125" style="10" bestFit="1" customWidth="1"/>
    <col min="14345" max="14345" width="12.28515625" style="10" customWidth="1"/>
    <col min="14346" max="14346" width="12.5703125" style="10" customWidth="1"/>
    <col min="14347" max="14347" width="10.5703125" style="10" customWidth="1"/>
    <col min="14348" max="14348" width="10.140625" style="10" customWidth="1"/>
    <col min="14349" max="14349" width="8.42578125" style="10" customWidth="1"/>
    <col min="14350" max="14350" width="18.85546875" style="10" customWidth="1"/>
    <col min="14351" max="14351" width="10.28515625" style="10" customWidth="1"/>
    <col min="14352" max="14352" width="11.42578125" style="10"/>
    <col min="14353" max="14353" width="12.140625" style="10" customWidth="1"/>
    <col min="14354" max="14354" width="10.5703125" style="10" customWidth="1"/>
    <col min="14355" max="14355" width="12.42578125" style="10" customWidth="1"/>
    <col min="14356" max="14356" width="15.140625" style="10" customWidth="1"/>
    <col min="14357" max="14357" width="13.5703125" style="10" customWidth="1"/>
    <col min="14358" max="14358" width="13.140625" style="10" customWidth="1"/>
    <col min="14359" max="14359" width="15.7109375" style="10" customWidth="1"/>
    <col min="14360" max="14360" width="37.5703125" style="10" customWidth="1"/>
    <col min="14361" max="14582" width="11.42578125" style="10"/>
    <col min="14583" max="14583" width="10.5703125" style="10" customWidth="1"/>
    <col min="14584" max="14584" width="4.85546875" style="10" customWidth="1"/>
    <col min="14585" max="14585" width="32.42578125" style="10" customWidth="1"/>
    <col min="14586" max="14586" width="9.85546875" style="10" customWidth="1"/>
    <col min="14587" max="14587" width="10.140625" style="10" customWidth="1"/>
    <col min="14588" max="14588" width="12.28515625" style="10" customWidth="1"/>
    <col min="14589" max="14589" width="15.42578125" style="10" customWidth="1"/>
    <col min="14590" max="14590" width="11.85546875" style="10" customWidth="1"/>
    <col min="14591" max="14591" width="13.28515625" style="10" customWidth="1"/>
    <col min="14592" max="14592" width="15.28515625" style="10" customWidth="1"/>
    <col min="14593" max="14593" width="11.85546875" style="10" customWidth="1"/>
    <col min="14594" max="14594" width="6.140625" style="10" customWidth="1"/>
    <col min="14595" max="14595" width="11.85546875" style="10" customWidth="1"/>
    <col min="14596" max="14596" width="9.42578125" style="10" customWidth="1"/>
    <col min="14597" max="14597" width="14.7109375" style="10" customWidth="1"/>
    <col min="14598" max="14598" width="11.5703125" style="10" customWidth="1"/>
    <col min="14599" max="14599" width="0.42578125" style="10" customWidth="1"/>
    <col min="14600" max="14600" width="10.5703125" style="10" bestFit="1" customWidth="1"/>
    <col min="14601" max="14601" width="12.28515625" style="10" customWidth="1"/>
    <col min="14602" max="14602" width="12.5703125" style="10" customWidth="1"/>
    <col min="14603" max="14603" width="10.5703125" style="10" customWidth="1"/>
    <col min="14604" max="14604" width="10.140625" style="10" customWidth="1"/>
    <col min="14605" max="14605" width="8.42578125" style="10" customWidth="1"/>
    <col min="14606" max="14606" width="18.85546875" style="10" customWidth="1"/>
    <col min="14607" max="14607" width="10.28515625" style="10" customWidth="1"/>
    <col min="14608" max="14608" width="11.42578125" style="10"/>
    <col min="14609" max="14609" width="12.140625" style="10" customWidth="1"/>
    <col min="14610" max="14610" width="10.5703125" style="10" customWidth="1"/>
    <col min="14611" max="14611" width="12.42578125" style="10" customWidth="1"/>
    <col min="14612" max="14612" width="15.140625" style="10" customWidth="1"/>
    <col min="14613" max="14613" width="13.5703125" style="10" customWidth="1"/>
    <col min="14614" max="14614" width="13.140625" style="10" customWidth="1"/>
    <col min="14615" max="14615" width="15.7109375" style="10" customWidth="1"/>
    <col min="14616" max="14616" width="37.5703125" style="10" customWidth="1"/>
    <col min="14617" max="14838" width="11.42578125" style="10"/>
    <col min="14839" max="14839" width="10.5703125" style="10" customWidth="1"/>
    <col min="14840" max="14840" width="4.85546875" style="10" customWidth="1"/>
    <col min="14841" max="14841" width="32.42578125" style="10" customWidth="1"/>
    <col min="14842" max="14842" width="9.85546875" style="10" customWidth="1"/>
    <col min="14843" max="14843" width="10.140625" style="10" customWidth="1"/>
    <col min="14844" max="14844" width="12.28515625" style="10" customWidth="1"/>
    <col min="14845" max="14845" width="15.42578125" style="10" customWidth="1"/>
    <col min="14846" max="14846" width="11.85546875" style="10" customWidth="1"/>
    <col min="14847" max="14847" width="13.28515625" style="10" customWidth="1"/>
    <col min="14848" max="14848" width="15.28515625" style="10" customWidth="1"/>
    <col min="14849" max="14849" width="11.85546875" style="10" customWidth="1"/>
    <col min="14850" max="14850" width="6.140625" style="10" customWidth="1"/>
    <col min="14851" max="14851" width="11.85546875" style="10" customWidth="1"/>
    <col min="14852" max="14852" width="9.42578125" style="10" customWidth="1"/>
    <col min="14853" max="14853" width="14.7109375" style="10" customWidth="1"/>
    <col min="14854" max="14854" width="11.5703125" style="10" customWidth="1"/>
    <col min="14855" max="14855" width="0.42578125" style="10" customWidth="1"/>
    <col min="14856" max="14856" width="10.5703125" style="10" bestFit="1" customWidth="1"/>
    <col min="14857" max="14857" width="12.28515625" style="10" customWidth="1"/>
    <col min="14858" max="14858" width="12.5703125" style="10" customWidth="1"/>
    <col min="14859" max="14859" width="10.5703125" style="10" customWidth="1"/>
    <col min="14860" max="14860" width="10.140625" style="10" customWidth="1"/>
    <col min="14861" max="14861" width="8.42578125" style="10" customWidth="1"/>
    <col min="14862" max="14862" width="18.85546875" style="10" customWidth="1"/>
    <col min="14863" max="14863" width="10.28515625" style="10" customWidth="1"/>
    <col min="14864" max="14864" width="11.42578125" style="10"/>
    <col min="14865" max="14865" width="12.140625" style="10" customWidth="1"/>
    <col min="14866" max="14866" width="10.5703125" style="10" customWidth="1"/>
    <col min="14867" max="14867" width="12.42578125" style="10" customWidth="1"/>
    <col min="14868" max="14868" width="15.140625" style="10" customWidth="1"/>
    <col min="14869" max="14869" width="13.5703125" style="10" customWidth="1"/>
    <col min="14870" max="14870" width="13.140625" style="10" customWidth="1"/>
    <col min="14871" max="14871" width="15.7109375" style="10" customWidth="1"/>
    <col min="14872" max="14872" width="37.5703125" style="10" customWidth="1"/>
    <col min="14873" max="15094" width="11.42578125" style="10"/>
    <col min="15095" max="15095" width="10.5703125" style="10" customWidth="1"/>
    <col min="15096" max="15096" width="4.85546875" style="10" customWidth="1"/>
    <col min="15097" max="15097" width="32.42578125" style="10" customWidth="1"/>
    <col min="15098" max="15098" width="9.85546875" style="10" customWidth="1"/>
    <col min="15099" max="15099" width="10.140625" style="10" customWidth="1"/>
    <col min="15100" max="15100" width="12.28515625" style="10" customWidth="1"/>
    <col min="15101" max="15101" width="15.42578125" style="10" customWidth="1"/>
    <col min="15102" max="15102" width="11.85546875" style="10" customWidth="1"/>
    <col min="15103" max="15103" width="13.28515625" style="10" customWidth="1"/>
    <col min="15104" max="15104" width="15.28515625" style="10" customWidth="1"/>
    <col min="15105" max="15105" width="11.85546875" style="10" customWidth="1"/>
    <col min="15106" max="15106" width="6.140625" style="10" customWidth="1"/>
    <col min="15107" max="15107" width="11.85546875" style="10" customWidth="1"/>
    <col min="15108" max="15108" width="9.42578125" style="10" customWidth="1"/>
    <col min="15109" max="15109" width="14.7109375" style="10" customWidth="1"/>
    <col min="15110" max="15110" width="11.5703125" style="10" customWidth="1"/>
    <col min="15111" max="15111" width="0.42578125" style="10" customWidth="1"/>
    <col min="15112" max="15112" width="10.5703125" style="10" bestFit="1" customWidth="1"/>
    <col min="15113" max="15113" width="12.28515625" style="10" customWidth="1"/>
    <col min="15114" max="15114" width="12.5703125" style="10" customWidth="1"/>
    <col min="15115" max="15115" width="10.5703125" style="10" customWidth="1"/>
    <col min="15116" max="15116" width="10.140625" style="10" customWidth="1"/>
    <col min="15117" max="15117" width="8.42578125" style="10" customWidth="1"/>
    <col min="15118" max="15118" width="18.85546875" style="10" customWidth="1"/>
    <col min="15119" max="15119" width="10.28515625" style="10" customWidth="1"/>
    <col min="15120" max="15120" width="11.42578125" style="10"/>
    <col min="15121" max="15121" width="12.140625" style="10" customWidth="1"/>
    <col min="15122" max="15122" width="10.5703125" style="10" customWidth="1"/>
    <col min="15123" max="15123" width="12.42578125" style="10" customWidth="1"/>
    <col min="15124" max="15124" width="15.140625" style="10" customWidth="1"/>
    <col min="15125" max="15125" width="13.5703125" style="10" customWidth="1"/>
    <col min="15126" max="15126" width="13.140625" style="10" customWidth="1"/>
    <col min="15127" max="15127" width="15.7109375" style="10" customWidth="1"/>
    <col min="15128" max="15128" width="37.5703125" style="10" customWidth="1"/>
    <col min="15129" max="15350" width="11.42578125" style="10"/>
    <col min="15351" max="15351" width="10.5703125" style="10" customWidth="1"/>
    <col min="15352" max="15352" width="4.85546875" style="10" customWidth="1"/>
    <col min="15353" max="15353" width="32.42578125" style="10" customWidth="1"/>
    <col min="15354" max="15354" width="9.85546875" style="10" customWidth="1"/>
    <col min="15355" max="15355" width="10.140625" style="10" customWidth="1"/>
    <col min="15356" max="15356" width="12.28515625" style="10" customWidth="1"/>
    <col min="15357" max="15357" width="15.42578125" style="10" customWidth="1"/>
    <col min="15358" max="15358" width="11.85546875" style="10" customWidth="1"/>
    <col min="15359" max="15359" width="13.28515625" style="10" customWidth="1"/>
    <col min="15360" max="15360" width="15.28515625" style="10" customWidth="1"/>
    <col min="15361" max="15361" width="11.85546875" style="10" customWidth="1"/>
    <col min="15362" max="15362" width="6.140625" style="10" customWidth="1"/>
    <col min="15363" max="15363" width="11.85546875" style="10" customWidth="1"/>
    <col min="15364" max="15364" width="9.42578125" style="10" customWidth="1"/>
    <col min="15365" max="15365" width="14.7109375" style="10" customWidth="1"/>
    <col min="15366" max="15366" width="11.5703125" style="10" customWidth="1"/>
    <col min="15367" max="15367" width="0.42578125" style="10" customWidth="1"/>
    <col min="15368" max="15368" width="10.5703125" style="10" bestFit="1" customWidth="1"/>
    <col min="15369" max="15369" width="12.28515625" style="10" customWidth="1"/>
    <col min="15370" max="15370" width="12.5703125" style="10" customWidth="1"/>
    <col min="15371" max="15371" width="10.5703125" style="10" customWidth="1"/>
    <col min="15372" max="15372" width="10.140625" style="10" customWidth="1"/>
    <col min="15373" max="15373" width="8.42578125" style="10" customWidth="1"/>
    <col min="15374" max="15374" width="18.85546875" style="10" customWidth="1"/>
    <col min="15375" max="15375" width="10.28515625" style="10" customWidth="1"/>
    <col min="15376" max="15376" width="11.42578125" style="10"/>
    <col min="15377" max="15377" width="12.140625" style="10" customWidth="1"/>
    <col min="15378" max="15378" width="10.5703125" style="10" customWidth="1"/>
    <col min="15379" max="15379" width="12.42578125" style="10" customWidth="1"/>
    <col min="15380" max="15380" width="15.140625" style="10" customWidth="1"/>
    <col min="15381" max="15381" width="13.5703125" style="10" customWidth="1"/>
    <col min="15382" max="15382" width="13.140625" style="10" customWidth="1"/>
    <col min="15383" max="15383" width="15.7109375" style="10" customWidth="1"/>
    <col min="15384" max="15384" width="37.5703125" style="10" customWidth="1"/>
    <col min="15385" max="15606" width="11.42578125" style="10"/>
    <col min="15607" max="15607" width="10.5703125" style="10" customWidth="1"/>
    <col min="15608" max="15608" width="4.85546875" style="10" customWidth="1"/>
    <col min="15609" max="15609" width="32.42578125" style="10" customWidth="1"/>
    <col min="15610" max="15610" width="9.85546875" style="10" customWidth="1"/>
    <col min="15611" max="15611" width="10.140625" style="10" customWidth="1"/>
    <col min="15612" max="15612" width="12.28515625" style="10" customWidth="1"/>
    <col min="15613" max="15613" width="15.42578125" style="10" customWidth="1"/>
    <col min="15614" max="15614" width="11.85546875" style="10" customWidth="1"/>
    <col min="15615" max="15615" width="13.28515625" style="10" customWidth="1"/>
    <col min="15616" max="15616" width="15.28515625" style="10" customWidth="1"/>
    <col min="15617" max="15617" width="11.85546875" style="10" customWidth="1"/>
    <col min="15618" max="15618" width="6.140625" style="10" customWidth="1"/>
    <col min="15619" max="15619" width="11.85546875" style="10" customWidth="1"/>
    <col min="15620" max="15620" width="9.42578125" style="10" customWidth="1"/>
    <col min="15621" max="15621" width="14.7109375" style="10" customWidth="1"/>
    <col min="15622" max="15622" width="11.5703125" style="10" customWidth="1"/>
    <col min="15623" max="15623" width="0.42578125" style="10" customWidth="1"/>
    <col min="15624" max="15624" width="10.5703125" style="10" bestFit="1" customWidth="1"/>
    <col min="15625" max="15625" width="12.28515625" style="10" customWidth="1"/>
    <col min="15626" max="15626" width="12.5703125" style="10" customWidth="1"/>
    <col min="15627" max="15627" width="10.5703125" style="10" customWidth="1"/>
    <col min="15628" max="15628" width="10.140625" style="10" customWidth="1"/>
    <col min="15629" max="15629" width="8.42578125" style="10" customWidth="1"/>
    <col min="15630" max="15630" width="18.85546875" style="10" customWidth="1"/>
    <col min="15631" max="15631" width="10.28515625" style="10" customWidth="1"/>
    <col min="15632" max="15632" width="11.42578125" style="10"/>
    <col min="15633" max="15633" width="12.140625" style="10" customWidth="1"/>
    <col min="15634" max="15634" width="10.5703125" style="10" customWidth="1"/>
    <col min="15635" max="15635" width="12.42578125" style="10" customWidth="1"/>
    <col min="15636" max="15636" width="15.140625" style="10" customWidth="1"/>
    <col min="15637" max="15637" width="13.5703125" style="10" customWidth="1"/>
    <col min="15638" max="15638" width="13.140625" style="10" customWidth="1"/>
    <col min="15639" max="15639" width="15.7109375" style="10" customWidth="1"/>
    <col min="15640" max="15640" width="37.5703125" style="10" customWidth="1"/>
    <col min="15641" max="15862" width="11.42578125" style="10"/>
    <col min="15863" max="15863" width="10.5703125" style="10" customWidth="1"/>
    <col min="15864" max="15864" width="4.85546875" style="10" customWidth="1"/>
    <col min="15865" max="15865" width="32.42578125" style="10" customWidth="1"/>
    <col min="15866" max="15866" width="9.85546875" style="10" customWidth="1"/>
    <col min="15867" max="15867" width="10.140625" style="10" customWidth="1"/>
    <col min="15868" max="15868" width="12.28515625" style="10" customWidth="1"/>
    <col min="15869" max="15869" width="15.42578125" style="10" customWidth="1"/>
    <col min="15870" max="15870" width="11.85546875" style="10" customWidth="1"/>
    <col min="15871" max="15871" width="13.28515625" style="10" customWidth="1"/>
    <col min="15872" max="15872" width="15.28515625" style="10" customWidth="1"/>
    <col min="15873" max="15873" width="11.85546875" style="10" customWidth="1"/>
    <col min="15874" max="15874" width="6.140625" style="10" customWidth="1"/>
    <col min="15875" max="15875" width="11.85546875" style="10" customWidth="1"/>
    <col min="15876" max="15876" width="9.42578125" style="10" customWidth="1"/>
    <col min="15877" max="15877" width="14.7109375" style="10" customWidth="1"/>
    <col min="15878" max="15878" width="11.5703125" style="10" customWidth="1"/>
    <col min="15879" max="15879" width="0.42578125" style="10" customWidth="1"/>
    <col min="15880" max="15880" width="10.5703125" style="10" bestFit="1" customWidth="1"/>
    <col min="15881" max="15881" width="12.28515625" style="10" customWidth="1"/>
    <col min="15882" max="15882" width="12.5703125" style="10" customWidth="1"/>
    <col min="15883" max="15883" width="10.5703125" style="10" customWidth="1"/>
    <col min="15884" max="15884" width="10.140625" style="10" customWidth="1"/>
    <col min="15885" max="15885" width="8.42578125" style="10" customWidth="1"/>
    <col min="15886" max="15886" width="18.85546875" style="10" customWidth="1"/>
    <col min="15887" max="15887" width="10.28515625" style="10" customWidth="1"/>
    <col min="15888" max="15888" width="11.42578125" style="10"/>
    <col min="15889" max="15889" width="12.140625" style="10" customWidth="1"/>
    <col min="15890" max="15890" width="10.5703125" style="10" customWidth="1"/>
    <col min="15891" max="15891" width="12.42578125" style="10" customWidth="1"/>
    <col min="15892" max="15892" width="15.140625" style="10" customWidth="1"/>
    <col min="15893" max="15893" width="13.5703125" style="10" customWidth="1"/>
    <col min="15894" max="15894" width="13.140625" style="10" customWidth="1"/>
    <col min="15895" max="15895" width="15.7109375" style="10" customWidth="1"/>
    <col min="15896" max="15896" width="37.5703125" style="10" customWidth="1"/>
    <col min="15897" max="16118" width="11.42578125" style="10"/>
    <col min="16119" max="16119" width="10.5703125" style="10" customWidth="1"/>
    <col min="16120" max="16120" width="4.85546875" style="10" customWidth="1"/>
    <col min="16121" max="16121" width="32.42578125" style="10" customWidth="1"/>
    <col min="16122" max="16122" width="9.85546875" style="10" customWidth="1"/>
    <col min="16123" max="16123" width="10.140625" style="10" customWidth="1"/>
    <col min="16124" max="16124" width="12.28515625" style="10" customWidth="1"/>
    <col min="16125" max="16125" width="15.42578125" style="10" customWidth="1"/>
    <col min="16126" max="16126" width="11.85546875" style="10" customWidth="1"/>
    <col min="16127" max="16127" width="13.28515625" style="10" customWidth="1"/>
    <col min="16128" max="16128" width="15.28515625" style="10" customWidth="1"/>
    <col min="16129" max="16129" width="11.85546875" style="10" customWidth="1"/>
    <col min="16130" max="16130" width="6.140625" style="10" customWidth="1"/>
    <col min="16131" max="16131" width="11.85546875" style="10" customWidth="1"/>
    <col min="16132" max="16132" width="9.42578125" style="10" customWidth="1"/>
    <col min="16133" max="16133" width="14.7109375" style="10" customWidth="1"/>
    <col min="16134" max="16134" width="11.5703125" style="10" customWidth="1"/>
    <col min="16135" max="16135" width="0.42578125" style="10" customWidth="1"/>
    <col min="16136" max="16136" width="10.5703125" style="10" bestFit="1" customWidth="1"/>
    <col min="16137" max="16137" width="12.28515625" style="10" customWidth="1"/>
    <col min="16138" max="16138" width="12.5703125" style="10" customWidth="1"/>
    <col min="16139" max="16139" width="10.5703125" style="10" customWidth="1"/>
    <col min="16140" max="16140" width="10.140625" style="10" customWidth="1"/>
    <col min="16141" max="16141" width="8.42578125" style="10" customWidth="1"/>
    <col min="16142" max="16142" width="18.85546875" style="10" customWidth="1"/>
    <col min="16143" max="16143" width="10.28515625" style="10" customWidth="1"/>
    <col min="16144" max="16144" width="11.42578125" style="10"/>
    <col min="16145" max="16145" width="12.140625" style="10" customWidth="1"/>
    <col min="16146" max="16146" width="10.5703125" style="10" customWidth="1"/>
    <col min="16147" max="16147" width="12.42578125" style="10" customWidth="1"/>
    <col min="16148" max="16148" width="15.140625" style="10" customWidth="1"/>
    <col min="16149" max="16149" width="13.5703125" style="10" customWidth="1"/>
    <col min="16150" max="16150" width="13.140625" style="10" customWidth="1"/>
    <col min="16151" max="16151" width="15.7109375" style="10" customWidth="1"/>
    <col min="16152" max="16152" width="37.5703125" style="10" customWidth="1"/>
    <col min="16153" max="16384" width="11.42578125" style="10"/>
  </cols>
  <sheetData>
    <row r="1" spans="1:24" x14ac:dyDescent="0.25">
      <c r="C1" s="100" t="s">
        <v>180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3"/>
      <c r="W1" s="9"/>
      <c r="X1" s="13"/>
    </row>
    <row r="2" spans="1:24" x14ac:dyDescent="0.25">
      <c r="C2" s="72" t="s">
        <v>1</v>
      </c>
      <c r="D2" s="13"/>
      <c r="E2" s="101" t="s">
        <v>2</v>
      </c>
      <c r="F2" s="101"/>
      <c r="G2" s="101"/>
      <c r="H2" s="101"/>
      <c r="I2" s="101"/>
      <c r="J2" s="101"/>
      <c r="K2" s="101"/>
      <c r="L2" s="101" t="s">
        <v>3</v>
      </c>
      <c r="M2" s="101"/>
      <c r="N2" s="101"/>
      <c r="O2" s="101"/>
      <c r="P2" s="101"/>
      <c r="Q2" s="101"/>
      <c r="R2" s="101"/>
      <c r="S2" s="101"/>
      <c r="T2" s="101"/>
      <c r="U2" s="13"/>
      <c r="V2" s="13"/>
      <c r="W2" s="9"/>
      <c r="X2" s="13"/>
    </row>
    <row r="3" spans="1:24" ht="39" customHeight="1" x14ac:dyDescent="0.25">
      <c r="A3" s="102" t="s">
        <v>4</v>
      </c>
      <c r="B3" s="14" t="s">
        <v>5</v>
      </c>
      <c r="C3" s="14" t="s">
        <v>6</v>
      </c>
      <c r="D3" s="14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5" t="s">
        <v>12</v>
      </c>
      <c r="J3" s="15" t="s">
        <v>162</v>
      </c>
      <c r="K3" s="15" t="s">
        <v>14</v>
      </c>
      <c r="L3" s="15" t="s">
        <v>15</v>
      </c>
      <c r="M3" s="15" t="s">
        <v>16</v>
      </c>
      <c r="N3" s="15" t="s">
        <v>17</v>
      </c>
      <c r="O3" s="15" t="s">
        <v>181</v>
      </c>
      <c r="P3" s="15" t="s">
        <v>19</v>
      </c>
      <c r="Q3" s="15" t="s">
        <v>20</v>
      </c>
      <c r="R3" s="15" t="s">
        <v>21</v>
      </c>
      <c r="S3" s="15" t="s">
        <v>22</v>
      </c>
      <c r="T3" s="15" t="s">
        <v>23</v>
      </c>
      <c r="U3" s="14" t="s">
        <v>24</v>
      </c>
      <c r="V3" s="14"/>
      <c r="W3" s="16"/>
      <c r="X3" s="14" t="s">
        <v>182</v>
      </c>
    </row>
    <row r="4" spans="1:24" x14ac:dyDescent="0.25">
      <c r="A4" s="103"/>
      <c r="B4" s="14">
        <v>1</v>
      </c>
      <c r="C4" s="11" t="s">
        <v>26</v>
      </c>
      <c r="D4" s="6" t="s">
        <v>27</v>
      </c>
      <c r="E4" s="5">
        <v>5250000</v>
      </c>
      <c r="F4" s="12">
        <v>30</v>
      </c>
      <c r="G4" s="5">
        <f t="shared" ref="G4:G9" si="0">+E4/30*F4</f>
        <v>5250000</v>
      </c>
      <c r="H4" s="5"/>
      <c r="I4" s="5"/>
      <c r="J4" s="5"/>
      <c r="K4" s="5">
        <f t="shared" ref="K4:K34" si="1">SUM(G4:I4)+J4</f>
        <v>5250000</v>
      </c>
      <c r="L4" s="5">
        <f>+G4*4%</f>
        <v>210000</v>
      </c>
      <c r="M4" s="5">
        <f>+G4*5%</f>
        <v>262500</v>
      </c>
      <c r="N4" s="5"/>
      <c r="O4" s="5"/>
      <c r="P4" s="5">
        <v>32000</v>
      </c>
      <c r="Q4" s="5"/>
      <c r="R4" s="5"/>
      <c r="S4" s="5"/>
      <c r="T4" s="5">
        <f t="shared" ref="T4:T46" si="2">SUM(L4:S4)</f>
        <v>504500</v>
      </c>
      <c r="U4" s="7">
        <f t="shared" ref="U4:U9" si="3">+K4-T4</f>
        <v>4745500</v>
      </c>
      <c r="V4" s="8"/>
      <c r="W4" s="9"/>
      <c r="X4" s="8">
        <f>U4+V4-W4</f>
        <v>4745500</v>
      </c>
    </row>
    <row r="5" spans="1:24" ht="24" x14ac:dyDescent="0.25">
      <c r="A5" s="103"/>
      <c r="B5" s="14">
        <v>2</v>
      </c>
      <c r="C5" s="11" t="s">
        <v>28</v>
      </c>
      <c r="D5" s="6" t="s">
        <v>27</v>
      </c>
      <c r="E5" s="5">
        <v>4500000</v>
      </c>
      <c r="F5" s="12">
        <v>30</v>
      </c>
      <c r="G5" s="5">
        <f>+E5-J5</f>
        <v>3450000</v>
      </c>
      <c r="H5" s="5"/>
      <c r="I5" s="5">
        <v>500000</v>
      </c>
      <c r="J5" s="5">
        <v>1050000</v>
      </c>
      <c r="K5" s="5">
        <f t="shared" si="1"/>
        <v>5000000</v>
      </c>
      <c r="L5" s="5">
        <f>+E5*4%</f>
        <v>180000</v>
      </c>
      <c r="M5" s="5">
        <f>+E5*5%</f>
        <v>225000</v>
      </c>
      <c r="N5" s="5"/>
      <c r="O5" s="5"/>
      <c r="P5" s="5">
        <v>79773</v>
      </c>
      <c r="Q5" s="5"/>
      <c r="R5" s="5"/>
      <c r="S5" s="5"/>
      <c r="T5" s="5">
        <f>SUM(L5:S5)</f>
        <v>484773</v>
      </c>
      <c r="U5" s="7">
        <f t="shared" si="3"/>
        <v>4515227</v>
      </c>
      <c r="V5" s="8"/>
      <c r="W5" s="9"/>
      <c r="X5" s="8">
        <f t="shared" ref="X5:X68" si="4">U5+V5-W5</f>
        <v>4515227</v>
      </c>
    </row>
    <row r="6" spans="1:24" ht="22.5" customHeight="1" x14ac:dyDescent="0.25">
      <c r="A6" s="103"/>
      <c r="B6" s="14">
        <v>3</v>
      </c>
      <c r="C6" s="11" t="s">
        <v>29</v>
      </c>
      <c r="D6" s="6" t="s">
        <v>27</v>
      </c>
      <c r="E6" s="5">
        <v>5500000</v>
      </c>
      <c r="F6" s="12">
        <v>30</v>
      </c>
      <c r="G6" s="5">
        <f>+E6-J6</f>
        <v>5500000</v>
      </c>
      <c r="H6" s="5"/>
      <c r="I6" s="5"/>
      <c r="J6" s="5">
        <v>0</v>
      </c>
      <c r="K6" s="5">
        <f t="shared" si="1"/>
        <v>5500000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4903000</v>
      </c>
      <c r="V6" s="8"/>
      <c r="W6" s="9"/>
      <c r="X6" s="8">
        <f t="shared" si="4"/>
        <v>4903000</v>
      </c>
    </row>
    <row r="7" spans="1:24" ht="22.5" customHeight="1" x14ac:dyDescent="0.25">
      <c r="A7" s="103"/>
      <c r="B7" s="14">
        <v>4</v>
      </c>
      <c r="C7" s="11" t="s">
        <v>30</v>
      </c>
      <c r="D7" s="6" t="s">
        <v>27</v>
      </c>
      <c r="E7" s="5">
        <v>5492319</v>
      </c>
      <c r="F7" s="12">
        <v>30</v>
      </c>
      <c r="G7" s="5">
        <f t="shared" ref="G7" si="5">+E7/30*F7</f>
        <v>5492319</v>
      </c>
      <c r="H7" s="5"/>
      <c r="I7" s="5"/>
      <c r="J7" s="5"/>
      <c r="K7" s="5">
        <f t="shared" si="1"/>
        <v>5492319</v>
      </c>
      <c r="L7" s="5">
        <f>+K7*4%</f>
        <v>219692.76</v>
      </c>
      <c r="M7" s="5">
        <f>+K7*5%</f>
        <v>274615.95</v>
      </c>
      <c r="N7" s="5"/>
      <c r="O7" s="5"/>
      <c r="P7" s="17">
        <v>98000</v>
      </c>
      <c r="Q7" s="5"/>
      <c r="R7" s="5"/>
      <c r="S7" s="5">
        <v>726520</v>
      </c>
      <c r="T7" s="5">
        <f t="shared" si="2"/>
        <v>1318828.71</v>
      </c>
      <c r="U7" s="7">
        <f t="shared" si="3"/>
        <v>4173490.29</v>
      </c>
      <c r="V7" s="8"/>
      <c r="W7" s="9"/>
      <c r="X7" s="8">
        <f t="shared" si="4"/>
        <v>4173490.29</v>
      </c>
    </row>
    <row r="8" spans="1:24" ht="26.25" customHeight="1" x14ac:dyDescent="0.25">
      <c r="A8" s="103"/>
      <c r="B8" s="14">
        <v>5</v>
      </c>
      <c r="C8" s="11" t="s">
        <v>142</v>
      </c>
      <c r="D8" s="6" t="s">
        <v>27</v>
      </c>
      <c r="E8" s="5">
        <v>5000000</v>
      </c>
      <c r="F8" s="12">
        <v>30</v>
      </c>
      <c r="G8" s="5">
        <f t="shared" si="0"/>
        <v>5000000</v>
      </c>
      <c r="H8" s="5"/>
      <c r="I8" s="5"/>
      <c r="J8" s="5"/>
      <c r="K8" s="5">
        <f t="shared" si="1"/>
        <v>5000000</v>
      </c>
      <c r="L8" s="5">
        <f>+K8*4%</f>
        <v>200000</v>
      </c>
      <c r="M8" s="5">
        <f>+K8*5%</f>
        <v>250000</v>
      </c>
      <c r="N8" s="5"/>
      <c r="O8" s="5"/>
      <c r="P8" s="17">
        <v>15000</v>
      </c>
      <c r="Q8" s="5">
        <v>500000</v>
      </c>
      <c r="R8" s="5">
        <v>111000</v>
      </c>
      <c r="S8" s="5"/>
      <c r="T8" s="5">
        <f>SUM(L8:S8)</f>
        <v>1076000</v>
      </c>
      <c r="U8" s="7">
        <f t="shared" si="3"/>
        <v>3924000</v>
      </c>
      <c r="V8" s="8"/>
      <c r="W8" s="9"/>
      <c r="X8" s="8">
        <f t="shared" si="4"/>
        <v>3924000</v>
      </c>
    </row>
    <row r="9" spans="1:24" x14ac:dyDescent="0.25">
      <c r="A9" s="103"/>
      <c r="B9" s="14">
        <v>6</v>
      </c>
      <c r="C9" s="11" t="s">
        <v>31</v>
      </c>
      <c r="D9" s="6" t="s">
        <v>27</v>
      </c>
      <c r="E9" s="5">
        <v>5000000</v>
      </c>
      <c r="F9" s="12">
        <v>30</v>
      </c>
      <c r="G9" s="5">
        <f t="shared" si="0"/>
        <v>5000000</v>
      </c>
      <c r="H9" s="5"/>
      <c r="I9" s="5">
        <v>2012670</v>
      </c>
      <c r="J9" s="5"/>
      <c r="K9" s="5">
        <f t="shared" si="1"/>
        <v>7012670</v>
      </c>
      <c r="L9" s="5">
        <f>+G9*4%</f>
        <v>200000</v>
      </c>
      <c r="M9" s="5">
        <f t="shared" ref="M9:M34" si="6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2"/>
        <v>1200000</v>
      </c>
      <c r="U9" s="7">
        <f t="shared" si="3"/>
        <v>5812670</v>
      </c>
      <c r="V9" s="8"/>
      <c r="W9" s="9"/>
      <c r="X9" s="8">
        <f t="shared" si="4"/>
        <v>5812670</v>
      </c>
    </row>
    <row r="10" spans="1:24" x14ac:dyDescent="0.25">
      <c r="A10" s="103"/>
      <c r="B10" s="14">
        <v>7</v>
      </c>
      <c r="C10" s="11" t="s">
        <v>32</v>
      </c>
      <c r="D10" s="6" t="s">
        <v>27</v>
      </c>
      <c r="E10" s="5">
        <v>4500000</v>
      </c>
      <c r="F10" s="12">
        <v>30</v>
      </c>
      <c r="G10" s="5">
        <f>E10/30*F10</f>
        <v>4500000</v>
      </c>
      <c r="H10" s="5"/>
      <c r="I10" s="5"/>
      <c r="J10" s="5">
        <v>0</v>
      </c>
      <c r="K10" s="5">
        <f t="shared" si="1"/>
        <v>4500000</v>
      </c>
      <c r="L10" s="5">
        <f>+K10*4%</f>
        <v>180000</v>
      </c>
      <c r="M10" s="5">
        <f>+K10*5%</f>
        <v>225000</v>
      </c>
      <c r="N10" s="5">
        <v>140000</v>
      </c>
      <c r="O10" s="5"/>
      <c r="P10" s="5">
        <v>2545</v>
      </c>
      <c r="Q10" s="5"/>
      <c r="R10" s="5"/>
      <c r="S10" s="5">
        <f>945750+420786</f>
        <v>1366536</v>
      </c>
      <c r="T10" s="5">
        <f t="shared" si="2"/>
        <v>1914081</v>
      </c>
      <c r="U10" s="7">
        <f>K10-T10</f>
        <v>2585919</v>
      </c>
      <c r="V10" s="8"/>
      <c r="W10" s="9"/>
      <c r="X10" s="8">
        <f t="shared" si="4"/>
        <v>2585919</v>
      </c>
    </row>
    <row r="11" spans="1:24" x14ac:dyDescent="0.25">
      <c r="A11" s="103"/>
      <c r="B11" s="14">
        <v>8</v>
      </c>
      <c r="C11" s="11" t="s">
        <v>33</v>
      </c>
      <c r="D11" s="6" t="s">
        <v>27</v>
      </c>
      <c r="E11" s="5">
        <v>4500000</v>
      </c>
      <c r="F11" s="12">
        <v>30</v>
      </c>
      <c r="G11" s="5">
        <f>E11/30*F11</f>
        <v>4500000</v>
      </c>
      <c r="H11" s="5"/>
      <c r="I11" s="5"/>
      <c r="J11" s="5"/>
      <c r="K11" s="5">
        <f t="shared" ref="K11" si="7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" si="8">SUM(L11:S11)</f>
        <v>415000</v>
      </c>
      <c r="U11" s="7">
        <f>K11-T11</f>
        <v>4085000</v>
      </c>
      <c r="V11" s="8"/>
      <c r="W11" s="9"/>
      <c r="X11" s="8">
        <f t="shared" si="4"/>
        <v>4085000</v>
      </c>
    </row>
    <row r="12" spans="1:24" x14ac:dyDescent="0.25">
      <c r="A12" s="103"/>
      <c r="B12" s="14">
        <v>9</v>
      </c>
      <c r="C12" s="11" t="s">
        <v>36</v>
      </c>
      <c r="D12" s="6" t="s">
        <v>27</v>
      </c>
      <c r="E12" s="5">
        <v>5400000</v>
      </c>
      <c r="F12" s="12">
        <v>30</v>
      </c>
      <c r="G12" s="5">
        <f>E12/30*F12</f>
        <v>5400000</v>
      </c>
      <c r="H12" s="5"/>
      <c r="I12" s="5"/>
      <c r="J12" s="5"/>
      <c r="K12" s="5">
        <f>SUM(G12:I12)+J12</f>
        <v>5400000</v>
      </c>
      <c r="L12" s="5">
        <f>+G12*4%</f>
        <v>216000</v>
      </c>
      <c r="M12" s="5">
        <f>+G12*5%</f>
        <v>270000</v>
      </c>
      <c r="N12" s="5"/>
      <c r="O12" s="5"/>
      <c r="P12" s="5">
        <v>6500</v>
      </c>
      <c r="Q12" s="5"/>
      <c r="R12" s="5"/>
      <c r="S12" s="5"/>
      <c r="T12" s="5">
        <f t="shared" si="2"/>
        <v>492500</v>
      </c>
      <c r="U12" s="7">
        <f t="shared" ref="U12:U19" si="9">+K12-T12</f>
        <v>4907500</v>
      </c>
      <c r="V12" s="8"/>
      <c r="W12" s="9"/>
      <c r="X12" s="8">
        <f t="shared" si="4"/>
        <v>4907500</v>
      </c>
    </row>
    <row r="13" spans="1:24" x14ac:dyDescent="0.25">
      <c r="A13" s="103"/>
      <c r="B13" s="14">
        <v>10</v>
      </c>
      <c r="C13" s="11" t="s">
        <v>174</v>
      </c>
      <c r="D13" s="6" t="s">
        <v>27</v>
      </c>
      <c r="E13" s="5">
        <v>4500000</v>
      </c>
      <c r="F13" s="12">
        <v>30</v>
      </c>
      <c r="G13" s="5">
        <f t="shared" ref="G13:G19" si="10">+E13/30*F13</f>
        <v>4500000</v>
      </c>
      <c r="H13" s="5"/>
      <c r="I13" s="5"/>
      <c r="J13" s="5"/>
      <c r="K13" s="5">
        <f t="shared" ref="K13" si="11">SUM(G13:I13)+J13</f>
        <v>4500000</v>
      </c>
      <c r="L13" s="5">
        <f>+G13*4%</f>
        <v>180000</v>
      </c>
      <c r="M13" s="5">
        <f>+G13*5%</f>
        <v>225000</v>
      </c>
      <c r="N13" s="5"/>
      <c r="O13" s="5"/>
      <c r="P13" s="17">
        <v>2800</v>
      </c>
      <c r="Q13" s="5"/>
      <c r="R13" s="5"/>
      <c r="S13" s="5"/>
      <c r="T13" s="5">
        <f t="shared" si="2"/>
        <v>407800</v>
      </c>
      <c r="U13" s="7">
        <f t="shared" si="9"/>
        <v>4092200</v>
      </c>
      <c r="V13" s="8"/>
      <c r="W13" s="9"/>
      <c r="X13" s="8">
        <f t="shared" si="4"/>
        <v>4092200</v>
      </c>
    </row>
    <row r="14" spans="1:24" x14ac:dyDescent="0.25">
      <c r="A14" s="103"/>
      <c r="B14" s="14">
        <v>11</v>
      </c>
      <c r="C14" s="3" t="s">
        <v>37</v>
      </c>
      <c r="D14" s="4" t="s">
        <v>27</v>
      </c>
      <c r="E14" s="5">
        <v>4500000</v>
      </c>
      <c r="F14" s="12">
        <v>30</v>
      </c>
      <c r="G14" s="5">
        <f t="shared" si="10"/>
        <v>4500000</v>
      </c>
      <c r="H14" s="5"/>
      <c r="I14" s="5"/>
      <c r="J14" s="5"/>
      <c r="K14" s="5">
        <f t="shared" si="1"/>
        <v>4500000</v>
      </c>
      <c r="L14" s="5">
        <v>180000</v>
      </c>
      <c r="M14" s="5">
        <v>225000</v>
      </c>
      <c r="N14" s="5"/>
      <c r="O14" s="5"/>
      <c r="P14" s="5">
        <v>3000</v>
      </c>
      <c r="Q14" s="5"/>
      <c r="R14" s="5"/>
      <c r="S14" s="5"/>
      <c r="T14" s="5">
        <f t="shared" si="2"/>
        <v>408000</v>
      </c>
      <c r="U14" s="7">
        <f t="shared" si="9"/>
        <v>4092000</v>
      </c>
      <c r="V14" s="8"/>
      <c r="W14" s="9"/>
      <c r="X14" s="8">
        <f t="shared" si="4"/>
        <v>4092000</v>
      </c>
    </row>
    <row r="15" spans="1:24" x14ac:dyDescent="0.25">
      <c r="A15" s="103"/>
      <c r="B15" s="14">
        <v>12</v>
      </c>
      <c r="C15" s="3" t="s">
        <v>38</v>
      </c>
      <c r="D15" s="4" t="s">
        <v>27</v>
      </c>
      <c r="E15" s="5">
        <v>4500000</v>
      </c>
      <c r="F15" s="12">
        <v>30</v>
      </c>
      <c r="G15" s="5">
        <f t="shared" si="10"/>
        <v>4500000</v>
      </c>
      <c r="H15" s="5"/>
      <c r="I15" s="5"/>
      <c r="J15" s="5"/>
      <c r="K15" s="5">
        <f t="shared" si="1"/>
        <v>4500000</v>
      </c>
      <c r="L15" s="5">
        <f>+G15*4%</f>
        <v>180000</v>
      </c>
      <c r="M15" s="5">
        <f>+G15*5%</f>
        <v>225000</v>
      </c>
      <c r="N15" s="5"/>
      <c r="O15" s="5"/>
      <c r="P15" s="5">
        <v>72000</v>
      </c>
      <c r="Q15" s="5"/>
      <c r="R15" s="5"/>
      <c r="S15" s="5">
        <v>838529</v>
      </c>
      <c r="T15" s="5">
        <f>SUM(L15:S15)</f>
        <v>1315529</v>
      </c>
      <c r="U15" s="7">
        <f>+K15-T15</f>
        <v>3184471</v>
      </c>
      <c r="V15" s="8"/>
      <c r="W15" s="9"/>
      <c r="X15" s="8">
        <f t="shared" si="4"/>
        <v>3184471</v>
      </c>
    </row>
    <row r="16" spans="1:24" ht="18.75" customHeight="1" x14ac:dyDescent="0.25">
      <c r="A16" s="103"/>
      <c r="B16" s="14">
        <v>13</v>
      </c>
      <c r="C16" s="3" t="s">
        <v>39</v>
      </c>
      <c r="D16" s="4" t="s">
        <v>35</v>
      </c>
      <c r="E16" s="5">
        <v>4000000</v>
      </c>
      <c r="F16" s="12">
        <v>30</v>
      </c>
      <c r="G16" s="5">
        <f t="shared" si="10"/>
        <v>4000000.0000000005</v>
      </c>
      <c r="H16" s="5"/>
      <c r="I16" s="5"/>
      <c r="J16" s="5"/>
      <c r="K16" s="5">
        <f t="shared" si="1"/>
        <v>4000000.0000000005</v>
      </c>
      <c r="L16" s="5">
        <v>160000</v>
      </c>
      <c r="M16" s="5">
        <v>200000</v>
      </c>
      <c r="N16" s="5"/>
      <c r="O16" s="5"/>
      <c r="P16" s="5">
        <v>4500</v>
      </c>
      <c r="Q16" s="5"/>
      <c r="R16" s="5"/>
      <c r="S16" s="5"/>
      <c r="T16" s="5">
        <f t="shared" ref="T16:T17" si="12">SUM(L16:S16)</f>
        <v>364500</v>
      </c>
      <c r="U16" s="7">
        <f t="shared" ref="U16:U17" si="13">+K16-T16</f>
        <v>3635500.0000000005</v>
      </c>
      <c r="V16" s="8"/>
      <c r="W16" s="9"/>
      <c r="X16" s="8">
        <f t="shared" si="4"/>
        <v>3635500.0000000005</v>
      </c>
    </row>
    <row r="17" spans="1:24" ht="16.5" customHeight="1" x14ac:dyDescent="0.25">
      <c r="A17" s="103"/>
      <c r="B17" s="14">
        <v>14</v>
      </c>
      <c r="C17" s="3" t="s">
        <v>40</v>
      </c>
      <c r="D17" s="4" t="s">
        <v>35</v>
      </c>
      <c r="E17" s="5">
        <v>4500000</v>
      </c>
      <c r="F17" s="12">
        <v>30</v>
      </c>
      <c r="G17" s="5">
        <f t="shared" si="10"/>
        <v>4500000</v>
      </c>
      <c r="H17" s="5"/>
      <c r="I17" s="5"/>
      <c r="J17" s="5"/>
      <c r="K17" s="5">
        <f t="shared" si="1"/>
        <v>4500000</v>
      </c>
      <c r="L17" s="5">
        <f>+G17*4%</f>
        <v>180000</v>
      </c>
      <c r="M17" s="5">
        <f>+G17*5%</f>
        <v>225000</v>
      </c>
      <c r="N17" s="5"/>
      <c r="O17" s="5"/>
      <c r="P17" s="5">
        <v>72000</v>
      </c>
      <c r="Q17" s="5"/>
      <c r="R17" s="5"/>
      <c r="S17" s="5"/>
      <c r="T17" s="5">
        <f t="shared" si="12"/>
        <v>477000</v>
      </c>
      <c r="U17" s="7">
        <f t="shared" si="13"/>
        <v>4023000</v>
      </c>
      <c r="V17" s="8"/>
      <c r="W17" s="9"/>
      <c r="X17" s="8">
        <f t="shared" si="4"/>
        <v>4023000</v>
      </c>
    </row>
    <row r="18" spans="1:24" x14ac:dyDescent="0.25">
      <c r="A18" s="103"/>
      <c r="B18" s="14">
        <v>15</v>
      </c>
      <c r="C18" s="11" t="s">
        <v>41</v>
      </c>
      <c r="D18" s="6" t="s">
        <v>27</v>
      </c>
      <c r="E18" s="5">
        <v>5500000</v>
      </c>
      <c r="F18" s="12">
        <v>30</v>
      </c>
      <c r="G18" s="5">
        <f t="shared" si="10"/>
        <v>5500000</v>
      </c>
      <c r="H18" s="5"/>
      <c r="I18" s="5">
        <v>450000</v>
      </c>
      <c r="J18" s="5"/>
      <c r="K18" s="5">
        <f t="shared" si="1"/>
        <v>5950000</v>
      </c>
      <c r="L18" s="5">
        <f>+G18*4%</f>
        <v>220000</v>
      </c>
      <c r="M18" s="5">
        <f>+G18*5%</f>
        <v>275000</v>
      </c>
      <c r="N18" s="5"/>
      <c r="O18" s="5"/>
      <c r="P18" s="17">
        <v>150521</v>
      </c>
      <c r="Q18" s="5">
        <v>1365000</v>
      </c>
      <c r="R18" s="5"/>
      <c r="S18" s="5"/>
      <c r="T18" s="5">
        <f t="shared" si="2"/>
        <v>2010521</v>
      </c>
      <c r="U18" s="7">
        <f t="shared" si="9"/>
        <v>3939479</v>
      </c>
      <c r="V18" s="8"/>
      <c r="W18" s="9"/>
      <c r="X18" s="8">
        <f t="shared" si="4"/>
        <v>3939479</v>
      </c>
    </row>
    <row r="19" spans="1:24" x14ac:dyDescent="0.25">
      <c r="A19" s="103"/>
      <c r="B19" s="14">
        <v>16</v>
      </c>
      <c r="C19" s="11" t="s">
        <v>143</v>
      </c>
      <c r="D19" s="6" t="s">
        <v>27</v>
      </c>
      <c r="E19" s="5">
        <v>5000000</v>
      </c>
      <c r="F19" s="12">
        <v>30</v>
      </c>
      <c r="G19" s="5">
        <f t="shared" si="10"/>
        <v>5000000</v>
      </c>
      <c r="H19" s="5"/>
      <c r="I19" s="5"/>
      <c r="J19" s="5"/>
      <c r="K19" s="5">
        <f t="shared" si="1"/>
        <v>5000000</v>
      </c>
      <c r="L19" s="5">
        <f>+G19*4%</f>
        <v>200000</v>
      </c>
      <c r="M19" s="5">
        <f>+G19*5%</f>
        <v>250000</v>
      </c>
      <c r="N19" s="5"/>
      <c r="O19" s="5"/>
      <c r="P19" s="17">
        <v>102000</v>
      </c>
      <c r="Q19" s="5"/>
      <c r="R19" s="5"/>
      <c r="S19" s="5"/>
      <c r="T19" s="5">
        <f t="shared" si="2"/>
        <v>552000</v>
      </c>
      <c r="U19" s="7">
        <f t="shared" si="9"/>
        <v>4448000</v>
      </c>
      <c r="V19" s="8"/>
      <c r="W19" s="9"/>
      <c r="X19" s="8">
        <f t="shared" si="4"/>
        <v>4448000</v>
      </c>
    </row>
    <row r="20" spans="1:24" ht="24" x14ac:dyDescent="0.25">
      <c r="A20" s="103"/>
      <c r="B20" s="14">
        <v>17</v>
      </c>
      <c r="C20" s="11" t="s">
        <v>43</v>
      </c>
      <c r="D20" s="6" t="s">
        <v>27</v>
      </c>
      <c r="E20" s="5">
        <v>5350000</v>
      </c>
      <c r="F20" s="12">
        <v>30</v>
      </c>
      <c r="G20" s="5">
        <f>+E20-J20</f>
        <v>3497222</v>
      </c>
      <c r="H20" s="5"/>
      <c r="I20" s="5">
        <v>1000000</v>
      </c>
      <c r="J20" s="5">
        <v>1852778</v>
      </c>
      <c r="K20" s="5">
        <f t="shared" si="1"/>
        <v>6350000</v>
      </c>
      <c r="L20" s="5">
        <v>214000</v>
      </c>
      <c r="M20" s="5">
        <f>214000+53500</f>
        <v>267500</v>
      </c>
      <c r="N20" s="5"/>
      <c r="O20" s="5"/>
      <c r="P20" s="17">
        <v>121000</v>
      </c>
      <c r="Q20" s="5"/>
      <c r="R20" s="5"/>
      <c r="S20" s="5">
        <v>810005</v>
      </c>
      <c r="T20" s="5">
        <f>SUM(L20:S20)</f>
        <v>1412505</v>
      </c>
      <c r="U20" s="7">
        <f>K20-T20</f>
        <v>4937495</v>
      </c>
      <c r="V20" s="8"/>
      <c r="W20" s="9"/>
      <c r="X20" s="8">
        <f t="shared" si="4"/>
        <v>4937495</v>
      </c>
    </row>
    <row r="21" spans="1:24" x14ac:dyDescent="0.25">
      <c r="A21" s="103"/>
      <c r="B21" s="14">
        <v>18</v>
      </c>
      <c r="C21" s="11" t="s">
        <v>44</v>
      </c>
      <c r="D21" s="6" t="s">
        <v>27</v>
      </c>
      <c r="E21" s="5">
        <v>6600000</v>
      </c>
      <c r="F21" s="12">
        <v>30</v>
      </c>
      <c r="G21" s="5">
        <f t="shared" ref="G21:G29" si="14">E21/30*F21</f>
        <v>6600000</v>
      </c>
      <c r="H21" s="5"/>
      <c r="I21" s="5"/>
      <c r="J21" s="5"/>
      <c r="K21" s="5">
        <f t="shared" si="1"/>
        <v>6600000</v>
      </c>
      <c r="L21" s="5">
        <f>+G21*4%</f>
        <v>264000</v>
      </c>
      <c r="M21" s="5">
        <f>+G21*5%</f>
        <v>330000</v>
      </c>
      <c r="N21" s="5"/>
      <c r="O21" s="5"/>
      <c r="P21" s="17">
        <v>180000</v>
      </c>
      <c r="Q21" s="5"/>
      <c r="R21" s="5"/>
      <c r="S21" s="18"/>
      <c r="T21" s="5">
        <f t="shared" si="2"/>
        <v>774000</v>
      </c>
      <c r="U21" s="7">
        <f>K21-T21</f>
        <v>5826000</v>
      </c>
      <c r="V21" s="8"/>
      <c r="W21" s="9"/>
      <c r="X21" s="8">
        <f t="shared" si="4"/>
        <v>5826000</v>
      </c>
    </row>
    <row r="22" spans="1:24" x14ac:dyDescent="0.25">
      <c r="A22" s="103"/>
      <c r="B22" s="14">
        <v>19</v>
      </c>
      <c r="C22" s="11" t="s">
        <v>45</v>
      </c>
      <c r="D22" s="6" t="s">
        <v>27</v>
      </c>
      <c r="E22" s="5">
        <v>6900000</v>
      </c>
      <c r="F22" s="12">
        <v>30</v>
      </c>
      <c r="G22" s="5">
        <f t="shared" si="14"/>
        <v>6900000</v>
      </c>
      <c r="H22" s="5"/>
      <c r="I22" s="5">
        <v>1400000</v>
      </c>
      <c r="J22" s="5"/>
      <c r="K22" s="5">
        <f t="shared" ref="K22" si="15">SUM(G22:I22)+J22</f>
        <v>8300000</v>
      </c>
      <c r="L22" s="5">
        <f t="shared" ref="L22" si="16">+G22*4%</f>
        <v>276000</v>
      </c>
      <c r="M22" s="5">
        <f t="shared" ref="M22" si="17">+G22*5%</f>
        <v>345000</v>
      </c>
      <c r="N22" s="5"/>
      <c r="O22" s="5"/>
      <c r="P22" s="17">
        <v>113000</v>
      </c>
      <c r="Q22" s="5">
        <v>1300000</v>
      </c>
      <c r="R22" s="5"/>
      <c r="S22" s="18"/>
      <c r="T22" s="5">
        <f t="shared" si="2"/>
        <v>2034000</v>
      </c>
      <c r="U22" s="7">
        <f>K22-T22</f>
        <v>6266000</v>
      </c>
      <c r="V22" s="8"/>
      <c r="W22" s="9"/>
      <c r="X22" s="8">
        <f t="shared" si="4"/>
        <v>6266000</v>
      </c>
    </row>
    <row r="23" spans="1:24" x14ac:dyDescent="0.25">
      <c r="A23" s="103"/>
      <c r="B23" s="14">
        <v>20</v>
      </c>
      <c r="C23" s="11" t="s">
        <v>46</v>
      </c>
      <c r="D23" s="6" t="s">
        <v>27</v>
      </c>
      <c r="E23" s="5">
        <v>3500000</v>
      </c>
      <c r="F23" s="12">
        <v>30</v>
      </c>
      <c r="G23" s="5">
        <f t="shared" ref="G23" si="18">+E23/30*F23</f>
        <v>3500000</v>
      </c>
      <c r="H23" s="5"/>
      <c r="I23" s="5"/>
      <c r="J23" s="5"/>
      <c r="K23" s="5">
        <f t="shared" ref="K23" si="19">SUM(G23:I23)+J23</f>
        <v>3500000</v>
      </c>
      <c r="L23" s="5">
        <v>140000</v>
      </c>
      <c r="M23" s="5">
        <v>175000</v>
      </c>
      <c r="N23" s="5"/>
      <c r="O23" s="5"/>
      <c r="P23" s="5"/>
      <c r="Q23" s="5"/>
      <c r="R23" s="5"/>
      <c r="S23" s="5"/>
      <c r="T23" s="5">
        <f t="shared" si="2"/>
        <v>315000</v>
      </c>
      <c r="U23" s="7">
        <f t="shared" ref="U23" si="20">+K23-T23</f>
        <v>3185000</v>
      </c>
      <c r="V23" s="8"/>
      <c r="W23" s="9"/>
      <c r="X23" s="8">
        <f t="shared" si="4"/>
        <v>3185000</v>
      </c>
    </row>
    <row r="24" spans="1:24" x14ac:dyDescent="0.25">
      <c r="A24" s="103"/>
      <c r="B24" s="14">
        <v>21</v>
      </c>
      <c r="C24" s="11" t="s">
        <v>47</v>
      </c>
      <c r="D24" s="6" t="s">
        <v>27</v>
      </c>
      <c r="E24" s="5">
        <v>5000000</v>
      </c>
      <c r="F24" s="12">
        <v>30</v>
      </c>
      <c r="G24" s="5">
        <f>+E24-J24</f>
        <v>5000000</v>
      </c>
      <c r="H24" s="5"/>
      <c r="I24" s="5">
        <v>1621317</v>
      </c>
      <c r="J24" s="5">
        <v>0</v>
      </c>
      <c r="K24" s="5">
        <f t="shared" si="1"/>
        <v>6621317</v>
      </c>
      <c r="L24" s="5">
        <v>200000</v>
      </c>
      <c r="M24" s="5">
        <v>250000</v>
      </c>
      <c r="N24" s="5"/>
      <c r="O24" s="5"/>
      <c r="P24" s="17">
        <v>50000</v>
      </c>
      <c r="Q24" s="5"/>
      <c r="R24" s="5"/>
      <c r="S24" s="5">
        <f>884747</f>
        <v>884747</v>
      </c>
      <c r="T24" s="5">
        <f t="shared" si="2"/>
        <v>1384747</v>
      </c>
      <c r="U24" s="7">
        <f>+K24-T24</f>
        <v>5236570</v>
      </c>
      <c r="V24" s="8"/>
      <c r="W24" s="9"/>
      <c r="X24" s="8">
        <f t="shared" si="4"/>
        <v>5236570</v>
      </c>
    </row>
    <row r="25" spans="1:24" x14ac:dyDescent="0.25">
      <c r="A25" s="103"/>
      <c r="B25" s="14">
        <v>22</v>
      </c>
      <c r="C25" s="11" t="s">
        <v>48</v>
      </c>
      <c r="D25" s="6" t="s">
        <v>27</v>
      </c>
      <c r="E25" s="5">
        <v>4500000</v>
      </c>
      <c r="F25" s="12">
        <v>30</v>
      </c>
      <c r="G25" s="5">
        <f>+E25-J25</f>
        <v>4500000</v>
      </c>
      <c r="H25" s="5"/>
      <c r="I25" s="5"/>
      <c r="J25" s="5">
        <v>0</v>
      </c>
      <c r="K25" s="5">
        <f t="shared" si="1"/>
        <v>4500000</v>
      </c>
      <c r="L25" s="5">
        <v>180000</v>
      </c>
      <c r="M25" s="5">
        <v>225000</v>
      </c>
      <c r="N25" s="5">
        <f>70000</f>
        <v>70000</v>
      </c>
      <c r="O25" s="5"/>
      <c r="P25" s="17">
        <v>31000</v>
      </c>
      <c r="Q25" s="5"/>
      <c r="R25" s="5"/>
      <c r="S25" s="5"/>
      <c r="T25" s="5">
        <f t="shared" si="2"/>
        <v>506000</v>
      </c>
      <c r="U25" s="7">
        <f>+K25-T25</f>
        <v>3994000</v>
      </c>
      <c r="V25" s="8"/>
      <c r="W25" s="9"/>
      <c r="X25" s="8">
        <f t="shared" si="4"/>
        <v>3994000</v>
      </c>
    </row>
    <row r="26" spans="1:24" x14ac:dyDescent="0.25">
      <c r="A26" s="103"/>
      <c r="B26" s="14">
        <v>23</v>
      </c>
      <c r="C26" s="11" t="s">
        <v>49</v>
      </c>
      <c r="D26" s="6" t="s">
        <v>27</v>
      </c>
      <c r="E26" s="5">
        <v>5500000</v>
      </c>
      <c r="F26" s="12">
        <v>30</v>
      </c>
      <c r="G26" s="5">
        <f t="shared" si="14"/>
        <v>5500000</v>
      </c>
      <c r="H26" s="5"/>
      <c r="I26" s="5"/>
      <c r="J26" s="5"/>
      <c r="K26" s="5">
        <f t="shared" ref="K26" si="21">SUM(G26:I26)+J26</f>
        <v>5500000</v>
      </c>
      <c r="L26" s="5">
        <f>+E26*4%</f>
        <v>220000</v>
      </c>
      <c r="M26" s="5">
        <f>+E26*5%</f>
        <v>275000</v>
      </c>
      <c r="N26" s="5"/>
      <c r="O26" s="5"/>
      <c r="P26" s="17">
        <v>141000</v>
      </c>
      <c r="Q26" s="5"/>
      <c r="R26" s="5"/>
      <c r="S26" s="5"/>
      <c r="T26" s="5">
        <f t="shared" ref="T26" si="22">SUM(L26:S26)</f>
        <v>636000</v>
      </c>
      <c r="U26" s="7">
        <f>+K26-T26</f>
        <v>4864000</v>
      </c>
      <c r="V26" s="8"/>
      <c r="W26" s="9"/>
      <c r="X26" s="8">
        <f t="shared" si="4"/>
        <v>4864000</v>
      </c>
    </row>
    <row r="27" spans="1:24" x14ac:dyDescent="0.25">
      <c r="A27" s="103"/>
      <c r="B27" s="14">
        <v>24</v>
      </c>
      <c r="C27" s="11" t="s">
        <v>50</v>
      </c>
      <c r="D27" s="6" t="s">
        <v>27</v>
      </c>
      <c r="E27" s="5">
        <v>4500000</v>
      </c>
      <c r="F27" s="12">
        <v>30</v>
      </c>
      <c r="G27" s="5">
        <f>E27/30*F27</f>
        <v>4500000</v>
      </c>
      <c r="H27" s="5" t="s">
        <v>154</v>
      </c>
      <c r="I27" s="5"/>
      <c r="J27" s="5"/>
      <c r="K27" s="5">
        <f t="shared" ref="K27" si="23">SUM(G27:I27)+J27</f>
        <v>4500000</v>
      </c>
      <c r="L27" s="5">
        <f>+G27*4%</f>
        <v>180000</v>
      </c>
      <c r="M27" s="5">
        <f>+G27*5%</f>
        <v>225000</v>
      </c>
      <c r="N27" s="5"/>
      <c r="O27" s="5"/>
      <c r="P27" s="17">
        <v>72000</v>
      </c>
      <c r="Q27" s="5"/>
      <c r="R27" s="5"/>
      <c r="S27" s="5"/>
      <c r="T27" s="5">
        <f t="shared" ref="T27" si="24">SUM(L27:S27)</f>
        <v>477000</v>
      </c>
      <c r="U27" s="7">
        <f>+K27-T27</f>
        <v>4023000</v>
      </c>
      <c r="V27" s="8"/>
      <c r="W27" s="9"/>
      <c r="X27" s="8">
        <f t="shared" si="4"/>
        <v>4023000</v>
      </c>
    </row>
    <row r="28" spans="1:24" x14ac:dyDescent="0.25">
      <c r="A28" s="103"/>
      <c r="B28" s="14">
        <v>25</v>
      </c>
      <c r="C28" s="11" t="s">
        <v>51</v>
      </c>
      <c r="D28" s="6" t="s">
        <v>27</v>
      </c>
      <c r="E28" s="5">
        <v>6000000</v>
      </c>
      <c r="F28" s="12">
        <v>30</v>
      </c>
      <c r="G28" s="5">
        <f t="shared" si="14"/>
        <v>6000000</v>
      </c>
      <c r="H28" s="5"/>
      <c r="I28" s="2"/>
      <c r="J28" s="2"/>
      <c r="K28" s="5">
        <f t="shared" si="1"/>
        <v>6000000</v>
      </c>
      <c r="L28" s="5">
        <f>+E28*4%</f>
        <v>240000</v>
      </c>
      <c r="M28" s="5">
        <f>E28*5%</f>
        <v>300000</v>
      </c>
      <c r="N28" s="5"/>
      <c r="O28" s="5"/>
      <c r="P28" s="17">
        <v>79000</v>
      </c>
      <c r="Q28" s="5"/>
      <c r="R28" s="5"/>
      <c r="S28" s="5"/>
      <c r="T28" s="5">
        <f t="shared" si="2"/>
        <v>619000</v>
      </c>
      <c r="U28" s="7">
        <f>K28-T28</f>
        <v>5381000</v>
      </c>
      <c r="V28" s="8"/>
      <c r="W28" s="9"/>
      <c r="X28" s="8">
        <f t="shared" si="4"/>
        <v>5381000</v>
      </c>
    </row>
    <row r="29" spans="1:24" x14ac:dyDescent="0.25">
      <c r="A29" s="103"/>
      <c r="B29" s="14">
        <v>26</v>
      </c>
      <c r="C29" s="11" t="s">
        <v>53</v>
      </c>
      <c r="D29" s="6" t="s">
        <v>27</v>
      </c>
      <c r="E29" s="5">
        <v>3500000</v>
      </c>
      <c r="F29" s="12">
        <v>30</v>
      </c>
      <c r="G29" s="5">
        <f t="shared" si="14"/>
        <v>3500000</v>
      </c>
      <c r="H29" s="5"/>
      <c r="I29" s="5"/>
      <c r="J29" s="5"/>
      <c r="K29" s="5">
        <f>SUM(G29:I29)+J29</f>
        <v>3500000</v>
      </c>
      <c r="L29" s="5">
        <v>140000</v>
      </c>
      <c r="M29" s="5">
        <v>175000</v>
      </c>
      <c r="N29" s="5">
        <f>340000</f>
        <v>340000</v>
      </c>
      <c r="O29" s="5"/>
      <c r="P29" s="17">
        <v>0</v>
      </c>
      <c r="Q29" s="5"/>
      <c r="R29" s="5">
        <v>111000</v>
      </c>
      <c r="S29" s="5"/>
      <c r="T29" s="5">
        <f t="shared" ref="T29" si="25">SUM(L29:S29)</f>
        <v>766000</v>
      </c>
      <c r="U29" s="7">
        <f>K29-T29</f>
        <v>2734000</v>
      </c>
      <c r="V29" s="8"/>
      <c r="W29" s="9"/>
      <c r="X29" s="8">
        <f t="shared" si="4"/>
        <v>2734000</v>
      </c>
    </row>
    <row r="30" spans="1:24" x14ac:dyDescent="0.25">
      <c r="A30" s="103"/>
      <c r="B30" s="14">
        <v>27</v>
      </c>
      <c r="C30" s="11" t="s">
        <v>54</v>
      </c>
      <c r="D30" s="6" t="s">
        <v>27</v>
      </c>
      <c r="E30" s="5">
        <v>4800000</v>
      </c>
      <c r="F30" s="12">
        <v>30</v>
      </c>
      <c r="G30" s="5">
        <f t="shared" ref="G30:G44" si="26">+E30/30*F30</f>
        <v>4800000</v>
      </c>
      <c r="H30" s="5"/>
      <c r="I30" s="5"/>
      <c r="J30" s="5"/>
      <c r="K30" s="5">
        <f t="shared" si="1"/>
        <v>4800000</v>
      </c>
      <c r="L30" s="5">
        <f>+G30*4%</f>
        <v>192000</v>
      </c>
      <c r="M30" s="5">
        <f>+G30*5%</f>
        <v>240000</v>
      </c>
      <c r="N30" s="5"/>
      <c r="O30" s="5"/>
      <c r="P30" s="5">
        <v>0</v>
      </c>
      <c r="Q30" s="5">
        <v>1300000</v>
      </c>
      <c r="R30" s="5"/>
      <c r="S30" s="5">
        <v>209579</v>
      </c>
      <c r="T30" s="5">
        <f t="shared" si="2"/>
        <v>1941579</v>
      </c>
      <c r="U30" s="7">
        <f>K30-T30</f>
        <v>2858421</v>
      </c>
      <c r="V30" s="8"/>
      <c r="W30" s="9"/>
      <c r="X30" s="8">
        <f t="shared" si="4"/>
        <v>2858421</v>
      </c>
    </row>
    <row r="31" spans="1:24" x14ac:dyDescent="0.25">
      <c r="A31" s="103"/>
      <c r="B31" s="14">
        <v>28</v>
      </c>
      <c r="C31" s="11" t="s">
        <v>55</v>
      </c>
      <c r="D31" s="6" t="s">
        <v>27</v>
      </c>
      <c r="E31" s="5">
        <v>4280000</v>
      </c>
      <c r="F31" s="12">
        <v>30</v>
      </c>
      <c r="G31" s="5">
        <f>E31/30*F31</f>
        <v>4280000</v>
      </c>
      <c r="H31" s="5"/>
      <c r="I31" s="5"/>
      <c r="J31" s="5"/>
      <c r="K31" s="5">
        <f t="shared" si="1"/>
        <v>4280000</v>
      </c>
      <c r="L31" s="5">
        <f>+K31*4%</f>
        <v>171200</v>
      </c>
      <c r="M31" s="5">
        <f>+K31*5%</f>
        <v>214000</v>
      </c>
      <c r="N31" s="5"/>
      <c r="O31" s="5"/>
      <c r="P31" s="17">
        <v>31064</v>
      </c>
      <c r="Q31" s="5"/>
      <c r="R31" s="5"/>
      <c r="S31" s="5"/>
      <c r="T31" s="5">
        <f t="shared" si="2"/>
        <v>416264</v>
      </c>
      <c r="U31" s="7">
        <f>K31-T31</f>
        <v>3863736</v>
      </c>
      <c r="V31" s="8"/>
      <c r="W31" s="9"/>
      <c r="X31" s="8">
        <f t="shared" si="4"/>
        <v>3863736</v>
      </c>
    </row>
    <row r="32" spans="1:24" x14ac:dyDescent="0.25">
      <c r="A32" s="103"/>
      <c r="B32" s="14">
        <v>29</v>
      </c>
      <c r="C32" s="11" t="s">
        <v>111</v>
      </c>
      <c r="D32" s="6" t="s">
        <v>27</v>
      </c>
      <c r="E32" s="5">
        <v>3500000</v>
      </c>
      <c r="F32" s="12">
        <v>30</v>
      </c>
      <c r="G32" s="5">
        <f t="shared" ref="G32" si="27">E32/30*F32</f>
        <v>3500000</v>
      </c>
      <c r="H32" s="5"/>
      <c r="I32" s="5"/>
      <c r="J32" s="5">
        <f>+E32-G32</f>
        <v>0</v>
      </c>
      <c r="K32" s="5">
        <f>SUM(G32:I32)+J32</f>
        <v>3500000</v>
      </c>
      <c r="L32" s="5">
        <f>+G32*4%</f>
        <v>140000</v>
      </c>
      <c r="M32" s="5">
        <f>+G32*5%</f>
        <v>175000</v>
      </c>
      <c r="N32" s="5"/>
      <c r="O32" s="5"/>
      <c r="P32" s="5">
        <v>0</v>
      </c>
      <c r="Q32" s="5"/>
      <c r="R32" s="5"/>
      <c r="S32" s="5">
        <v>257196</v>
      </c>
      <c r="T32" s="5">
        <f>SUM(L32:S32)</f>
        <v>572196</v>
      </c>
      <c r="U32" s="7">
        <f>+K32-T32</f>
        <v>2927804</v>
      </c>
      <c r="V32" s="8"/>
      <c r="W32" s="9"/>
      <c r="X32" s="8">
        <f t="shared" si="4"/>
        <v>2927804</v>
      </c>
    </row>
    <row r="33" spans="1:26" x14ac:dyDescent="0.25">
      <c r="A33" s="103"/>
      <c r="B33" s="14">
        <v>30</v>
      </c>
      <c r="C33" s="11" t="s">
        <v>56</v>
      </c>
      <c r="D33" s="6" t="s">
        <v>27</v>
      </c>
      <c r="E33" s="5">
        <v>6000000</v>
      </c>
      <c r="F33" s="12">
        <v>30</v>
      </c>
      <c r="G33" s="5">
        <f t="shared" si="26"/>
        <v>6000000</v>
      </c>
      <c r="H33" s="5"/>
      <c r="I33" s="5"/>
      <c r="J33" s="5"/>
      <c r="K33" s="5">
        <f t="shared" si="1"/>
        <v>6000000</v>
      </c>
      <c r="L33" s="5">
        <f>+K33*4%</f>
        <v>240000</v>
      </c>
      <c r="M33" s="5">
        <f>+K33*5%</f>
        <v>300000</v>
      </c>
      <c r="N33" s="5"/>
      <c r="O33" s="5"/>
      <c r="P33" s="5">
        <v>208000</v>
      </c>
      <c r="Q33" s="5"/>
      <c r="R33" s="5">
        <v>122614</v>
      </c>
      <c r="S33" s="5"/>
      <c r="T33" s="5">
        <f t="shared" si="2"/>
        <v>870614</v>
      </c>
      <c r="U33" s="7">
        <f t="shared" ref="U33:U34" si="28">+K33-T33</f>
        <v>5129386</v>
      </c>
      <c r="V33" s="8"/>
      <c r="W33" s="9"/>
      <c r="X33" s="8">
        <f t="shared" si="4"/>
        <v>5129386</v>
      </c>
    </row>
    <row r="34" spans="1:26" x14ac:dyDescent="0.25">
      <c r="A34" s="103"/>
      <c r="B34" s="14">
        <v>31</v>
      </c>
      <c r="C34" s="11" t="s">
        <v>57</v>
      </c>
      <c r="D34" s="6" t="s">
        <v>27</v>
      </c>
      <c r="E34" s="5">
        <v>4500000</v>
      </c>
      <c r="F34" s="12">
        <v>30</v>
      </c>
      <c r="G34" s="5">
        <f t="shared" si="26"/>
        <v>4500000</v>
      </c>
      <c r="H34" s="5"/>
      <c r="I34" s="5">
        <v>500000</v>
      </c>
      <c r="J34" s="5"/>
      <c r="K34" s="5">
        <f t="shared" si="1"/>
        <v>5000000</v>
      </c>
      <c r="L34" s="5">
        <f t="shared" ref="L34" si="29">+G34*4%</f>
        <v>180000</v>
      </c>
      <c r="M34" s="5">
        <f t="shared" si="6"/>
        <v>225000</v>
      </c>
      <c r="N34" s="5"/>
      <c r="O34" s="5"/>
      <c r="P34" s="5">
        <v>11000</v>
      </c>
      <c r="Q34" s="5"/>
      <c r="R34" s="5"/>
      <c r="S34" s="5">
        <v>551399</v>
      </c>
      <c r="T34" s="5">
        <f t="shared" si="2"/>
        <v>967399</v>
      </c>
      <c r="U34" s="7">
        <f t="shared" si="28"/>
        <v>4032601</v>
      </c>
      <c r="V34" s="8"/>
      <c r="W34" s="9"/>
      <c r="X34" s="8">
        <f t="shared" si="4"/>
        <v>4032601</v>
      </c>
    </row>
    <row r="35" spans="1:26" x14ac:dyDescent="0.25">
      <c r="A35" s="103"/>
      <c r="B35" s="14">
        <v>32</v>
      </c>
      <c r="C35" s="3" t="s">
        <v>58</v>
      </c>
      <c r="D35" s="4" t="s">
        <v>27</v>
      </c>
      <c r="E35" s="5">
        <v>5400000</v>
      </c>
      <c r="F35" s="12">
        <v>30</v>
      </c>
      <c r="G35" s="5">
        <f>+E35-J35</f>
        <v>5400000</v>
      </c>
      <c r="H35" s="5"/>
      <c r="I35" s="5"/>
      <c r="J35" s="5"/>
      <c r="K35" s="5">
        <f>SUM(G35:I35)+J35</f>
        <v>5400000</v>
      </c>
      <c r="L35" s="5">
        <f>+G35*4%</f>
        <v>216000</v>
      </c>
      <c r="M35" s="5">
        <f>+G35*5%</f>
        <v>270000</v>
      </c>
      <c r="N35" s="5"/>
      <c r="O35" s="5"/>
      <c r="P35" s="5">
        <v>48240</v>
      </c>
      <c r="Q35" s="5"/>
      <c r="R35" s="5"/>
      <c r="S35" s="5">
        <v>541379</v>
      </c>
      <c r="T35" s="5">
        <f t="shared" si="2"/>
        <v>1075619</v>
      </c>
      <c r="U35" s="7">
        <f>K35-T35</f>
        <v>4324381</v>
      </c>
      <c r="V35" s="8"/>
      <c r="W35" s="9"/>
      <c r="X35" s="8">
        <f t="shared" si="4"/>
        <v>4324381</v>
      </c>
    </row>
    <row r="36" spans="1:26" ht="24.75" customHeight="1" x14ac:dyDescent="0.25">
      <c r="A36" s="103"/>
      <c r="B36" s="14">
        <v>33</v>
      </c>
      <c r="C36" s="11" t="s">
        <v>59</v>
      </c>
      <c r="D36" s="6" t="s">
        <v>27</v>
      </c>
      <c r="E36" s="5">
        <v>6420000</v>
      </c>
      <c r="F36" s="12">
        <v>30</v>
      </c>
      <c r="G36" s="5">
        <f>+E36-J36</f>
        <v>6420000</v>
      </c>
      <c r="H36" s="5"/>
      <c r="I36" s="5"/>
      <c r="J36" s="5"/>
      <c r="K36" s="5">
        <f t="shared" ref="K36:K78" si="30">SUM(G36:I36)+J36</f>
        <v>6420000</v>
      </c>
      <c r="L36" s="5">
        <f>+E36*4%</f>
        <v>256800</v>
      </c>
      <c r="M36" s="5">
        <f>+E36*5%</f>
        <v>321000</v>
      </c>
      <c r="N36" s="5"/>
      <c r="O36" s="5"/>
      <c r="P36" s="5">
        <v>231000</v>
      </c>
      <c r="Q36" s="5"/>
      <c r="R36" s="5"/>
      <c r="S36" s="5"/>
      <c r="T36" s="5">
        <f t="shared" si="2"/>
        <v>808800</v>
      </c>
      <c r="U36" s="7">
        <f>+K36-T36</f>
        <v>5611200</v>
      </c>
      <c r="V36" s="8"/>
      <c r="W36" s="9"/>
      <c r="X36" s="8">
        <f t="shared" si="4"/>
        <v>5611200</v>
      </c>
    </row>
    <row r="37" spans="1:26" x14ac:dyDescent="0.25">
      <c r="A37" s="103"/>
      <c r="B37" s="14">
        <v>34</v>
      </c>
      <c r="C37" s="3" t="s">
        <v>60</v>
      </c>
      <c r="D37" s="4" t="s">
        <v>27</v>
      </c>
      <c r="E37" s="5">
        <v>6900000</v>
      </c>
      <c r="F37" s="12">
        <v>30</v>
      </c>
      <c r="G37" s="5">
        <f t="shared" si="26"/>
        <v>6900000</v>
      </c>
      <c r="H37" s="5"/>
      <c r="I37" s="5">
        <v>1500000</v>
      </c>
      <c r="J37" s="2"/>
      <c r="K37" s="5">
        <f t="shared" si="30"/>
        <v>8400000</v>
      </c>
      <c r="L37" s="5">
        <v>276000</v>
      </c>
      <c r="M37" s="5">
        <v>345000</v>
      </c>
      <c r="N37" s="5"/>
      <c r="O37" s="5"/>
      <c r="P37" s="5">
        <v>345000</v>
      </c>
      <c r="Q37" s="5"/>
      <c r="R37" s="5"/>
      <c r="S37" s="5"/>
      <c r="T37" s="5">
        <f t="shared" si="2"/>
        <v>966000</v>
      </c>
      <c r="U37" s="7">
        <f>K37-T37</f>
        <v>7434000</v>
      </c>
      <c r="V37" s="8"/>
      <c r="W37" s="9"/>
      <c r="X37" s="8">
        <f t="shared" si="4"/>
        <v>7434000</v>
      </c>
    </row>
    <row r="38" spans="1:26" x14ac:dyDescent="0.25">
      <c r="A38" s="103"/>
      <c r="B38" s="14">
        <v>35</v>
      </c>
      <c r="C38" s="3" t="s">
        <v>62</v>
      </c>
      <c r="D38" s="4" t="s">
        <v>27</v>
      </c>
      <c r="E38" s="5">
        <v>5500000</v>
      </c>
      <c r="F38" s="12">
        <v>30</v>
      </c>
      <c r="G38" s="5">
        <f t="shared" si="26"/>
        <v>5500000</v>
      </c>
      <c r="H38" s="5"/>
      <c r="I38" s="5">
        <v>500000</v>
      </c>
      <c r="J38" s="5"/>
      <c r="K38" s="5">
        <f t="shared" ref="K38" si="31">SUM(G38:I38)+J38</f>
        <v>6000000</v>
      </c>
      <c r="L38" s="5">
        <f>+G38*4%</f>
        <v>220000</v>
      </c>
      <c r="M38" s="5">
        <f>+G38*5%</f>
        <v>275000</v>
      </c>
      <c r="N38" s="5"/>
      <c r="O38" s="5"/>
      <c r="P38" s="5">
        <v>144000</v>
      </c>
      <c r="Q38" s="5"/>
      <c r="R38" s="5"/>
      <c r="S38" s="5"/>
      <c r="T38" s="5">
        <f t="shared" si="2"/>
        <v>639000</v>
      </c>
      <c r="U38" s="7">
        <f t="shared" ref="U38" si="32">K38-T38</f>
        <v>5361000</v>
      </c>
      <c r="V38" s="8"/>
      <c r="W38" s="9"/>
      <c r="X38" s="8">
        <f t="shared" si="4"/>
        <v>5361000</v>
      </c>
    </row>
    <row r="39" spans="1:26" x14ac:dyDescent="0.25">
      <c r="A39" s="103"/>
      <c r="B39" s="14">
        <v>36</v>
      </c>
      <c r="C39" s="11" t="s">
        <v>63</v>
      </c>
      <c r="D39" s="6" t="s">
        <v>27</v>
      </c>
      <c r="E39" s="5">
        <v>5350000</v>
      </c>
      <c r="F39" s="12">
        <v>30</v>
      </c>
      <c r="G39" s="5">
        <f>+E39-J39</f>
        <v>4815000</v>
      </c>
      <c r="H39" s="5"/>
      <c r="I39" s="5"/>
      <c r="J39" s="5">
        <v>535000</v>
      </c>
      <c r="K39" s="5">
        <f t="shared" si="30"/>
        <v>5350000</v>
      </c>
      <c r="L39" s="5">
        <v>214000</v>
      </c>
      <c r="M39" s="5">
        <v>267500</v>
      </c>
      <c r="N39" s="5"/>
      <c r="O39" s="5"/>
      <c r="P39" s="5">
        <v>121000</v>
      </c>
      <c r="Q39" s="5"/>
      <c r="R39" s="5"/>
      <c r="S39" s="5"/>
      <c r="T39" s="5">
        <f>SUM(L39:S39)</f>
        <v>602500</v>
      </c>
      <c r="U39" s="7">
        <f t="shared" ref="U39:U44" si="33">+K39-T39</f>
        <v>4747500</v>
      </c>
      <c r="V39" s="8"/>
      <c r="W39" s="9"/>
      <c r="X39" s="8">
        <f t="shared" si="4"/>
        <v>4747500</v>
      </c>
    </row>
    <row r="40" spans="1:26" x14ac:dyDescent="0.25">
      <c r="A40" s="103"/>
      <c r="B40" s="14">
        <v>37</v>
      </c>
      <c r="C40" s="11" t="s">
        <v>149</v>
      </c>
      <c r="D40" s="6"/>
      <c r="E40" s="5">
        <v>4000000</v>
      </c>
      <c r="F40" s="12">
        <v>30</v>
      </c>
      <c r="G40" s="5">
        <f t="shared" ref="G40:G43" si="34">+E40/30*F40</f>
        <v>4000000.0000000005</v>
      </c>
      <c r="H40" s="5"/>
      <c r="I40" s="5"/>
      <c r="J40" s="5"/>
      <c r="K40" s="5">
        <f t="shared" ref="K40" si="35">SUM(G40:I40)+J40</f>
        <v>4000000.0000000005</v>
      </c>
      <c r="L40" s="5">
        <f>+G40*4%</f>
        <v>160000.00000000003</v>
      </c>
      <c r="M40" s="5">
        <f>+G40*5%</f>
        <v>200000.00000000003</v>
      </c>
      <c r="N40" s="5"/>
      <c r="O40" s="5"/>
      <c r="P40" s="5">
        <v>0</v>
      </c>
      <c r="Q40" s="5"/>
      <c r="R40" s="5"/>
      <c r="S40" s="5"/>
      <c r="T40" s="5">
        <f>SUM(L40:S40)</f>
        <v>360000.00000000006</v>
      </c>
      <c r="U40" s="7">
        <f t="shared" si="33"/>
        <v>3640000.0000000005</v>
      </c>
      <c r="V40" s="8"/>
      <c r="W40" s="9"/>
      <c r="X40" s="8">
        <f t="shared" si="4"/>
        <v>3640000.0000000005</v>
      </c>
    </row>
    <row r="41" spans="1:26" ht="21" customHeight="1" x14ac:dyDescent="0.25">
      <c r="A41" s="103"/>
      <c r="B41" s="14">
        <v>38</v>
      </c>
      <c r="C41" s="11" t="s">
        <v>64</v>
      </c>
      <c r="D41" s="6" t="s">
        <v>27</v>
      </c>
      <c r="E41" s="5">
        <v>4500000</v>
      </c>
      <c r="F41" s="12">
        <v>30</v>
      </c>
      <c r="G41" s="5">
        <f t="shared" si="34"/>
        <v>4500000</v>
      </c>
      <c r="H41" s="5"/>
      <c r="I41" s="5"/>
      <c r="J41" s="5"/>
      <c r="K41" s="5">
        <f t="shared" si="30"/>
        <v>4500000</v>
      </c>
      <c r="L41" s="5">
        <f>+E41*4%</f>
        <v>180000</v>
      </c>
      <c r="M41" s="5">
        <f>+E41*5%</f>
        <v>225000</v>
      </c>
      <c r="N41" s="5"/>
      <c r="O41" s="5"/>
      <c r="P41" s="5">
        <v>10000</v>
      </c>
      <c r="Q41" s="5"/>
      <c r="R41" s="5"/>
      <c r="S41" s="5">
        <v>317224</v>
      </c>
      <c r="T41" s="5">
        <f>SUM(L41:S41)</f>
        <v>732224</v>
      </c>
      <c r="U41" s="7">
        <f t="shared" si="33"/>
        <v>3767776</v>
      </c>
      <c r="V41" s="8"/>
      <c r="W41" s="9"/>
      <c r="X41" s="8">
        <f t="shared" si="4"/>
        <v>3767776</v>
      </c>
    </row>
    <row r="42" spans="1:26" ht="26.25" customHeight="1" x14ac:dyDescent="0.25">
      <c r="A42" s="103"/>
      <c r="B42" s="14">
        <v>39</v>
      </c>
      <c r="C42" s="11" t="s">
        <v>66</v>
      </c>
      <c r="D42" s="6" t="s">
        <v>27</v>
      </c>
      <c r="E42" s="5">
        <v>4800000</v>
      </c>
      <c r="F42" s="12">
        <v>30</v>
      </c>
      <c r="G42" s="5">
        <f t="shared" si="34"/>
        <v>4800000</v>
      </c>
      <c r="H42" s="5"/>
      <c r="I42" s="5"/>
      <c r="J42" s="5"/>
      <c r="K42" s="5">
        <f t="shared" ref="K42" si="36">SUM(G42:I42)+J42</f>
        <v>4800000</v>
      </c>
      <c r="L42" s="5">
        <f>+G42*4%</f>
        <v>192000</v>
      </c>
      <c r="M42" s="5">
        <f>+G42*5%</f>
        <v>240000</v>
      </c>
      <c r="N42" s="5"/>
      <c r="O42" s="5"/>
      <c r="P42" s="5">
        <v>51000</v>
      </c>
      <c r="Q42" s="5">
        <v>500000</v>
      </c>
      <c r="R42" s="5"/>
      <c r="S42" s="5">
        <f>206720</f>
        <v>206720</v>
      </c>
      <c r="T42" s="5">
        <f t="shared" ref="T42" si="37">SUM(L42:S42)</f>
        <v>1189720</v>
      </c>
      <c r="U42" s="7">
        <f t="shared" si="33"/>
        <v>3610280</v>
      </c>
      <c r="V42" s="8"/>
      <c r="W42" s="9"/>
      <c r="X42" s="8">
        <f t="shared" si="4"/>
        <v>3610280</v>
      </c>
    </row>
    <row r="43" spans="1:26" ht="26.25" customHeight="1" x14ac:dyDescent="0.25">
      <c r="A43" s="103"/>
      <c r="B43" s="14">
        <v>40</v>
      </c>
      <c r="C43" s="11" t="s">
        <v>67</v>
      </c>
      <c r="D43" s="6"/>
      <c r="E43" s="5">
        <v>4000000</v>
      </c>
      <c r="F43" s="12">
        <v>30</v>
      </c>
      <c r="G43" s="5">
        <f t="shared" si="34"/>
        <v>4000000.0000000005</v>
      </c>
      <c r="H43" s="5"/>
      <c r="I43" s="5"/>
      <c r="J43" s="5"/>
      <c r="K43" s="5">
        <f t="shared" ref="K43" si="38">SUM(G43:I43)+J43</f>
        <v>4000000.0000000005</v>
      </c>
      <c r="L43" s="5">
        <f>+G43*4%</f>
        <v>160000.00000000003</v>
      </c>
      <c r="M43" s="5">
        <f>+G43*5%</f>
        <v>200000.00000000003</v>
      </c>
      <c r="N43" s="5"/>
      <c r="O43" s="5"/>
      <c r="P43" s="5">
        <v>4500</v>
      </c>
      <c r="Q43" s="5"/>
      <c r="R43" s="5"/>
      <c r="S43" s="5"/>
      <c r="T43" s="5">
        <f t="shared" ref="T43" si="39">SUM(L43:S43)</f>
        <v>364500.00000000006</v>
      </c>
      <c r="U43" s="7">
        <f t="shared" si="33"/>
        <v>3635500.0000000005</v>
      </c>
      <c r="V43" s="8"/>
      <c r="W43" s="9"/>
      <c r="X43" s="8">
        <f t="shared" si="4"/>
        <v>3635500.0000000005</v>
      </c>
    </row>
    <row r="44" spans="1:26" ht="24" customHeight="1" x14ac:dyDescent="0.25">
      <c r="A44" s="103"/>
      <c r="B44" s="14">
        <v>41</v>
      </c>
      <c r="C44" s="11" t="s">
        <v>69</v>
      </c>
      <c r="D44" s="6" t="s">
        <v>27</v>
      </c>
      <c r="E44" s="5">
        <v>6000000</v>
      </c>
      <c r="F44" s="12">
        <v>30</v>
      </c>
      <c r="G44" s="5">
        <f t="shared" si="26"/>
        <v>6000000</v>
      </c>
      <c r="H44" s="5">
        <v>56408</v>
      </c>
      <c r="I44" s="5">
        <v>400000</v>
      </c>
      <c r="J44" s="5"/>
      <c r="K44" s="5">
        <f t="shared" si="30"/>
        <v>6456408</v>
      </c>
      <c r="L44" s="5">
        <f>+G44*4%</f>
        <v>240000</v>
      </c>
      <c r="M44" s="5">
        <f>+G44*5%</f>
        <v>300000</v>
      </c>
      <c r="N44" s="5"/>
      <c r="O44" s="5"/>
      <c r="P44" s="5">
        <v>126000</v>
      </c>
      <c r="Q44" s="5"/>
      <c r="R44" s="5"/>
      <c r="S44" s="5"/>
      <c r="T44" s="5">
        <f t="shared" si="2"/>
        <v>666000</v>
      </c>
      <c r="U44" s="7">
        <f t="shared" si="33"/>
        <v>5790408</v>
      </c>
      <c r="V44" s="8"/>
      <c r="W44" s="9"/>
      <c r="X44" s="8">
        <f t="shared" si="4"/>
        <v>5790408</v>
      </c>
      <c r="Y44" s="8">
        <v>4886979</v>
      </c>
      <c r="Z44" s="20">
        <f>+X44-Y44</f>
        <v>903429</v>
      </c>
    </row>
    <row r="45" spans="1:26" ht="30.75" customHeight="1" x14ac:dyDescent="0.25">
      <c r="A45" s="103"/>
      <c r="B45" s="14">
        <v>42</v>
      </c>
      <c r="C45" s="11" t="s">
        <v>70</v>
      </c>
      <c r="D45" s="6" t="s">
        <v>27</v>
      </c>
      <c r="E45" s="5">
        <v>5152050</v>
      </c>
      <c r="F45" s="12">
        <v>30</v>
      </c>
      <c r="G45" s="5">
        <f>+E45-J45</f>
        <v>5152050</v>
      </c>
      <c r="H45" s="5"/>
      <c r="I45" s="5">
        <v>350000</v>
      </c>
      <c r="J45" s="5"/>
      <c r="K45" s="5">
        <f t="shared" si="30"/>
        <v>5502050</v>
      </c>
      <c r="L45" s="5">
        <f>+G45*4%</f>
        <v>206082</v>
      </c>
      <c r="M45" s="5">
        <f>+G45*5%</f>
        <v>257602.5</v>
      </c>
      <c r="N45" s="5"/>
      <c r="O45" s="5"/>
      <c r="P45" s="5">
        <v>93000</v>
      </c>
      <c r="Q45" s="5"/>
      <c r="R45" s="5"/>
      <c r="S45" s="5"/>
      <c r="T45" s="5">
        <f t="shared" si="2"/>
        <v>556684.5</v>
      </c>
      <c r="U45" s="7">
        <f t="shared" ref="U45:U48" si="40">K45-T45</f>
        <v>4945365.5</v>
      </c>
      <c r="V45" s="8"/>
      <c r="W45" s="9"/>
      <c r="X45" s="8">
        <f t="shared" si="4"/>
        <v>4945365.5</v>
      </c>
    </row>
    <row r="46" spans="1:26" x14ac:dyDescent="0.25">
      <c r="A46" s="104"/>
      <c r="B46" s="14">
        <v>43</v>
      </c>
      <c r="C46" s="11" t="s">
        <v>72</v>
      </c>
      <c r="D46" s="6" t="s">
        <v>27</v>
      </c>
      <c r="E46" s="5">
        <v>4500000</v>
      </c>
      <c r="F46" s="12">
        <v>30</v>
      </c>
      <c r="G46" s="5">
        <f>+E46-J46</f>
        <v>4500000</v>
      </c>
      <c r="H46" s="5"/>
      <c r="I46" s="5"/>
      <c r="J46" s="5"/>
      <c r="K46" s="5">
        <f t="shared" si="30"/>
        <v>4500000</v>
      </c>
      <c r="L46" s="5">
        <v>180000</v>
      </c>
      <c r="M46" s="5">
        <v>225000</v>
      </c>
      <c r="N46" s="5"/>
      <c r="O46" s="5"/>
      <c r="P46" s="5">
        <v>31000</v>
      </c>
      <c r="Q46" s="5"/>
      <c r="R46" s="5"/>
      <c r="S46" s="5"/>
      <c r="T46" s="5">
        <f t="shared" si="2"/>
        <v>436000</v>
      </c>
      <c r="U46" s="7">
        <f t="shared" si="40"/>
        <v>4064000</v>
      </c>
      <c r="V46" s="8"/>
      <c r="W46" s="9"/>
      <c r="X46" s="8">
        <f t="shared" si="4"/>
        <v>4064000</v>
      </c>
    </row>
    <row r="47" spans="1:26" x14ac:dyDescent="0.25">
      <c r="A47" s="102" t="s">
        <v>144</v>
      </c>
      <c r="B47" s="14">
        <v>1</v>
      </c>
      <c r="C47" s="11" t="s">
        <v>145</v>
      </c>
      <c r="D47" s="6"/>
      <c r="E47" s="5">
        <v>737717</v>
      </c>
      <c r="F47" s="12">
        <v>30</v>
      </c>
      <c r="G47" s="5">
        <f t="shared" ref="G47:G57" si="41">+E47/30*F47</f>
        <v>737717</v>
      </c>
      <c r="H47" s="5"/>
      <c r="I47" s="5"/>
      <c r="J47" s="5"/>
      <c r="K47" s="5">
        <f t="shared" si="30"/>
        <v>737717</v>
      </c>
      <c r="L47" s="5"/>
      <c r="M47" s="5"/>
      <c r="N47" s="5"/>
      <c r="O47" s="5"/>
      <c r="P47" s="5"/>
      <c r="Q47" s="5"/>
      <c r="R47" s="5"/>
      <c r="S47" s="5"/>
      <c r="T47" s="5"/>
      <c r="U47" s="7">
        <f t="shared" si="40"/>
        <v>737717</v>
      </c>
      <c r="V47" s="8"/>
      <c r="W47" s="9"/>
      <c r="X47" s="8">
        <f t="shared" si="4"/>
        <v>737717</v>
      </c>
    </row>
    <row r="48" spans="1:26" ht="20.25" customHeight="1" x14ac:dyDescent="0.25">
      <c r="A48" s="103"/>
      <c r="B48" s="14">
        <v>2</v>
      </c>
      <c r="C48" s="11" t="s">
        <v>73</v>
      </c>
      <c r="D48" s="6" t="s">
        <v>27</v>
      </c>
      <c r="E48" s="5">
        <v>3000000</v>
      </c>
      <c r="F48" s="12">
        <v>30</v>
      </c>
      <c r="G48" s="5">
        <f>+E48-J48</f>
        <v>3000000</v>
      </c>
      <c r="H48" s="5"/>
      <c r="I48" s="5"/>
      <c r="J48" s="5"/>
      <c r="K48" s="5">
        <f t="shared" si="30"/>
        <v>3000000</v>
      </c>
      <c r="L48" s="5">
        <v>120000</v>
      </c>
      <c r="M48" s="5">
        <v>150000</v>
      </c>
      <c r="N48" s="5">
        <v>108334</v>
      </c>
      <c r="O48" s="5"/>
      <c r="P48" s="5"/>
      <c r="Q48" s="5"/>
      <c r="R48" s="5"/>
      <c r="S48" s="5">
        <f>481778+240889</f>
        <v>722667</v>
      </c>
      <c r="T48" s="5">
        <f t="shared" ref="T48" si="42">SUM(L48:S48)</f>
        <v>1101001</v>
      </c>
      <c r="U48" s="7">
        <f t="shared" si="40"/>
        <v>1898999</v>
      </c>
      <c r="V48" s="8"/>
      <c r="W48" s="9"/>
      <c r="X48" s="8">
        <f t="shared" si="4"/>
        <v>1898999</v>
      </c>
    </row>
    <row r="49" spans="1:24" x14ac:dyDescent="0.25">
      <c r="A49" s="103"/>
      <c r="B49" s="14">
        <v>3</v>
      </c>
      <c r="C49" s="3" t="s">
        <v>76</v>
      </c>
      <c r="D49" s="4" t="s">
        <v>27</v>
      </c>
      <c r="E49" s="5">
        <v>2500000</v>
      </c>
      <c r="F49" s="12">
        <v>30</v>
      </c>
      <c r="G49" s="5">
        <f t="shared" si="41"/>
        <v>2500000</v>
      </c>
      <c r="H49" s="5"/>
      <c r="I49" s="5">
        <v>78127</v>
      </c>
      <c r="J49" s="5"/>
      <c r="K49" s="5">
        <f>SUM(G49:I49)+J49</f>
        <v>2578127</v>
      </c>
      <c r="L49" s="5">
        <f>+G49*4%</f>
        <v>100000</v>
      </c>
      <c r="M49" s="5">
        <f>+G49*4%</f>
        <v>100000</v>
      </c>
      <c r="N49" s="5"/>
      <c r="O49" s="5"/>
      <c r="P49" s="5"/>
      <c r="Q49" s="5"/>
      <c r="R49" s="5"/>
      <c r="S49" s="5"/>
      <c r="T49" s="5">
        <f>SUM(L49:S49)</f>
        <v>200000</v>
      </c>
      <c r="U49" s="7">
        <f>K49-T49</f>
        <v>2378127</v>
      </c>
      <c r="V49" s="8"/>
      <c r="W49" s="9"/>
      <c r="X49" s="8">
        <f t="shared" si="4"/>
        <v>2378127</v>
      </c>
    </row>
    <row r="50" spans="1:24" ht="18" customHeight="1" x14ac:dyDescent="0.25">
      <c r="A50" s="103"/>
      <c r="B50" s="14">
        <v>4</v>
      </c>
      <c r="C50" s="11" t="s">
        <v>77</v>
      </c>
      <c r="D50" s="6" t="s">
        <v>27</v>
      </c>
      <c r="E50" s="5">
        <v>3000000</v>
      </c>
      <c r="F50" s="12">
        <v>30</v>
      </c>
      <c r="G50" s="5">
        <f t="shared" si="41"/>
        <v>3000000</v>
      </c>
      <c r="H50" s="5">
        <v>0</v>
      </c>
      <c r="I50" s="5"/>
      <c r="J50" s="5"/>
      <c r="K50" s="5">
        <f>SUM(G50:I50)+J50</f>
        <v>3000000</v>
      </c>
      <c r="L50" s="5">
        <f>+E50*4%</f>
        <v>120000</v>
      </c>
      <c r="M50" s="5">
        <f>+E50*5%</f>
        <v>150000</v>
      </c>
      <c r="N50" s="5"/>
      <c r="O50" s="5"/>
      <c r="P50" s="17"/>
      <c r="Q50" s="5"/>
      <c r="R50" s="5"/>
      <c r="S50" s="5">
        <v>1300000</v>
      </c>
      <c r="T50" s="5">
        <f>+L50+M50+S50</f>
        <v>1570000</v>
      </c>
      <c r="U50" s="7">
        <f>+K50-T50</f>
        <v>1430000</v>
      </c>
      <c r="V50" s="8"/>
      <c r="W50" s="9"/>
      <c r="X50" s="8">
        <f t="shared" si="4"/>
        <v>1430000</v>
      </c>
    </row>
    <row r="51" spans="1:24" x14ac:dyDescent="0.25">
      <c r="A51" s="103"/>
      <c r="B51" s="14">
        <v>5</v>
      </c>
      <c r="C51" s="3" t="s">
        <v>78</v>
      </c>
      <c r="D51" s="4" t="s">
        <v>27</v>
      </c>
      <c r="E51" s="5">
        <v>1500000</v>
      </c>
      <c r="F51" s="12">
        <v>20</v>
      </c>
      <c r="G51" s="5">
        <v>666700</v>
      </c>
      <c r="H51" s="5">
        <f>+E51/30*10</f>
        <v>500000</v>
      </c>
      <c r="I51" s="5"/>
      <c r="J51" s="5"/>
      <c r="K51" s="5">
        <f t="shared" ref="K51" si="43">SUM(G51:I51)+J51</f>
        <v>1166700</v>
      </c>
      <c r="L51" s="5">
        <v>60000</v>
      </c>
      <c r="M51" s="5">
        <v>60000</v>
      </c>
      <c r="N51" s="5"/>
      <c r="O51" s="5"/>
      <c r="P51" s="5"/>
      <c r="Q51" s="5"/>
      <c r="R51" s="5"/>
      <c r="S51" s="5"/>
      <c r="T51" s="5">
        <f t="shared" ref="T51:T109" si="44">SUM(L51:S51)</f>
        <v>120000</v>
      </c>
      <c r="U51" s="7">
        <f>K51-T51</f>
        <v>1046700</v>
      </c>
      <c r="V51" s="8"/>
      <c r="W51" s="9"/>
      <c r="X51" s="8">
        <f t="shared" si="4"/>
        <v>1046700</v>
      </c>
    </row>
    <row r="52" spans="1:24" ht="24" x14ac:dyDescent="0.25">
      <c r="A52" s="103"/>
      <c r="B52" s="14">
        <v>6</v>
      </c>
      <c r="C52" s="11" t="s">
        <v>81</v>
      </c>
      <c r="D52" s="6" t="s">
        <v>27</v>
      </c>
      <c r="E52" s="5">
        <v>1500000</v>
      </c>
      <c r="F52" s="12">
        <v>30</v>
      </c>
      <c r="G52" s="5">
        <f t="shared" si="41"/>
        <v>1500000</v>
      </c>
      <c r="H52" s="5"/>
      <c r="I52" s="5"/>
      <c r="J52" s="5"/>
      <c r="K52" s="5">
        <f t="shared" ref="K52" si="45">SUM(G52:I52)+J52</f>
        <v>1500000</v>
      </c>
      <c r="L52" s="5">
        <f>+G52*4%</f>
        <v>60000</v>
      </c>
      <c r="M52" s="5">
        <f>+G52*4%</f>
        <v>60000</v>
      </c>
      <c r="N52" s="5">
        <v>130000</v>
      </c>
      <c r="O52" s="5"/>
      <c r="P52" s="17"/>
      <c r="Q52" s="5"/>
      <c r="R52" s="5"/>
      <c r="S52" s="5"/>
      <c r="T52" s="5">
        <f t="shared" ref="T52" si="46">SUM(L52:S52)</f>
        <v>250000</v>
      </c>
      <c r="U52" s="7">
        <f t="shared" ref="U52:U61" si="47">+K52-T52</f>
        <v>1250000</v>
      </c>
      <c r="V52" s="8"/>
      <c r="W52" s="9"/>
      <c r="X52" s="8">
        <f t="shared" si="4"/>
        <v>1250000</v>
      </c>
    </row>
    <row r="53" spans="1:24" ht="21.75" customHeight="1" x14ac:dyDescent="0.25">
      <c r="A53" s="103"/>
      <c r="B53" s="14">
        <v>7</v>
      </c>
      <c r="C53" s="11" t="s">
        <v>82</v>
      </c>
      <c r="D53" s="6" t="s">
        <v>27</v>
      </c>
      <c r="E53" s="5">
        <v>1800000</v>
      </c>
      <c r="F53" s="12">
        <v>30</v>
      </c>
      <c r="G53" s="5">
        <f t="shared" si="41"/>
        <v>1800000</v>
      </c>
      <c r="H53" s="5">
        <v>0</v>
      </c>
      <c r="I53" s="5"/>
      <c r="J53" s="5"/>
      <c r="K53" s="5">
        <f t="shared" si="30"/>
        <v>1800000</v>
      </c>
      <c r="L53" s="5">
        <f>+G53*4%</f>
        <v>72000</v>
      </c>
      <c r="M53" s="5">
        <f>+G53*4%</f>
        <v>72000</v>
      </c>
      <c r="N53" s="5">
        <v>172050</v>
      </c>
      <c r="O53" s="5"/>
      <c r="P53" s="5">
        <v>0</v>
      </c>
      <c r="Q53" s="5"/>
      <c r="R53" s="5"/>
      <c r="S53" s="5"/>
      <c r="T53" s="5">
        <f t="shared" si="44"/>
        <v>316050</v>
      </c>
      <c r="U53" s="7">
        <f t="shared" si="47"/>
        <v>1483950</v>
      </c>
      <c r="V53" s="8"/>
      <c r="W53" s="9"/>
      <c r="X53" s="8">
        <f t="shared" si="4"/>
        <v>1483950</v>
      </c>
    </row>
    <row r="54" spans="1:24" x14ac:dyDescent="0.25">
      <c r="A54" s="103"/>
      <c r="B54" s="14">
        <v>8</v>
      </c>
      <c r="C54" s="11" t="s">
        <v>83</v>
      </c>
      <c r="D54" s="6" t="s">
        <v>27</v>
      </c>
      <c r="E54" s="5">
        <v>737717</v>
      </c>
      <c r="F54" s="12">
        <v>30</v>
      </c>
      <c r="G54" s="5">
        <f t="shared" si="41"/>
        <v>737717</v>
      </c>
      <c r="H54" s="5">
        <v>83140</v>
      </c>
      <c r="I54" s="5"/>
      <c r="J54" s="5"/>
      <c r="K54" s="5">
        <f t="shared" ref="K54" si="48">SUM(G54:I54)+J54</f>
        <v>820857</v>
      </c>
      <c r="L54" s="5">
        <v>29509</v>
      </c>
      <c r="M54" s="5">
        <v>29509</v>
      </c>
      <c r="N54" s="5"/>
      <c r="O54" s="5"/>
      <c r="P54" s="17"/>
      <c r="Q54" s="5"/>
      <c r="R54" s="5"/>
      <c r="S54" s="5"/>
      <c r="T54" s="5">
        <f t="shared" si="44"/>
        <v>59018</v>
      </c>
      <c r="U54" s="7">
        <f t="shared" si="47"/>
        <v>761839</v>
      </c>
      <c r="V54" s="8"/>
      <c r="W54" s="9"/>
      <c r="X54" s="8">
        <f t="shared" si="4"/>
        <v>761839</v>
      </c>
    </row>
    <row r="55" spans="1:24" ht="21" customHeight="1" x14ac:dyDescent="0.25">
      <c r="A55" s="103"/>
      <c r="B55" s="14">
        <v>9</v>
      </c>
      <c r="C55" s="11" t="s">
        <v>183</v>
      </c>
      <c r="D55" s="6"/>
      <c r="E55" s="5">
        <v>3000000</v>
      </c>
      <c r="F55" s="12">
        <v>26</v>
      </c>
      <c r="G55" s="5">
        <f>+E55/30*F55</f>
        <v>2600000</v>
      </c>
      <c r="H55" s="5"/>
      <c r="I55" s="5"/>
      <c r="J55" s="5"/>
      <c r="K55" s="5">
        <f>SUM(G55:I55)+J55</f>
        <v>2600000</v>
      </c>
      <c r="L55" s="5">
        <f>+G55*4%</f>
        <v>104000</v>
      </c>
      <c r="M55" s="5">
        <f>+G55*4%</f>
        <v>104000</v>
      </c>
      <c r="N55" s="5"/>
      <c r="O55" s="5"/>
      <c r="P55" s="5"/>
      <c r="Q55" s="5"/>
      <c r="R55" s="5"/>
      <c r="S55" s="5"/>
      <c r="T55" s="5">
        <f>SUM(L55:S55)</f>
        <v>208000</v>
      </c>
      <c r="U55" s="7">
        <f>+K55-T55</f>
        <v>2392000</v>
      </c>
      <c r="V55" s="8"/>
      <c r="W55" s="9"/>
      <c r="X55" s="8">
        <f t="shared" si="4"/>
        <v>2392000</v>
      </c>
    </row>
    <row r="56" spans="1:24" ht="17.25" customHeight="1" x14ac:dyDescent="0.25">
      <c r="A56" s="103"/>
      <c r="B56" s="14">
        <v>10</v>
      </c>
      <c r="C56" s="11" t="s">
        <v>84</v>
      </c>
      <c r="D56" s="6" t="s">
        <v>27</v>
      </c>
      <c r="E56" s="5">
        <v>3500000</v>
      </c>
      <c r="F56" s="12">
        <v>30</v>
      </c>
      <c r="G56" s="5">
        <f>+E56-J56</f>
        <v>3500000</v>
      </c>
      <c r="H56" s="5"/>
      <c r="I56" s="5"/>
      <c r="J56" s="5"/>
      <c r="K56" s="5">
        <f t="shared" ref="K56" si="49">SUM(G56:I56)+J56</f>
        <v>3500000</v>
      </c>
      <c r="L56" s="5">
        <f>+E56*4%</f>
        <v>140000</v>
      </c>
      <c r="M56" s="5">
        <f>+E56*5%</f>
        <v>175000</v>
      </c>
      <c r="N56" s="5"/>
      <c r="O56" s="5"/>
      <c r="P56" s="5">
        <v>0</v>
      </c>
      <c r="Q56" s="5"/>
      <c r="R56" s="5"/>
      <c r="S56" s="5">
        <v>774624</v>
      </c>
      <c r="T56" s="5">
        <f t="shared" ref="T56" si="50">SUM(L56:S56)</f>
        <v>1089624</v>
      </c>
      <c r="U56" s="7">
        <f t="shared" si="47"/>
        <v>2410376</v>
      </c>
      <c r="V56" s="8"/>
      <c r="W56" s="9"/>
      <c r="X56" s="8">
        <f t="shared" si="4"/>
        <v>2410376</v>
      </c>
    </row>
    <row r="57" spans="1:24" ht="17.25" customHeight="1" x14ac:dyDescent="0.25">
      <c r="A57" s="103"/>
      <c r="B57" s="14">
        <v>11</v>
      </c>
      <c r="C57" s="11" t="s">
        <v>85</v>
      </c>
      <c r="D57" s="6" t="s">
        <v>27</v>
      </c>
      <c r="E57" s="5">
        <v>2500000</v>
      </c>
      <c r="F57" s="12">
        <v>30</v>
      </c>
      <c r="G57" s="5">
        <f t="shared" si="41"/>
        <v>2500000</v>
      </c>
      <c r="H57" s="5"/>
      <c r="I57" s="5"/>
      <c r="J57" s="5"/>
      <c r="K57" s="5">
        <f t="shared" si="30"/>
        <v>2500000</v>
      </c>
      <c r="L57" s="5">
        <f>+K57*4%</f>
        <v>100000</v>
      </c>
      <c r="M57" s="5">
        <f>+K57*4%</f>
        <v>100000</v>
      </c>
      <c r="N57" s="5">
        <v>120000</v>
      </c>
      <c r="O57" s="5"/>
      <c r="P57" s="5">
        <v>0</v>
      </c>
      <c r="Q57" s="5"/>
      <c r="R57" s="5"/>
      <c r="S57" s="5">
        <v>200210</v>
      </c>
      <c r="T57" s="5">
        <f t="shared" si="44"/>
        <v>520210</v>
      </c>
      <c r="U57" s="7">
        <f t="shared" si="47"/>
        <v>1979790</v>
      </c>
      <c r="V57" s="8"/>
      <c r="W57" s="9"/>
      <c r="X57" s="8">
        <f t="shared" si="4"/>
        <v>1979790</v>
      </c>
    </row>
    <row r="58" spans="1:24" ht="17.25" customHeight="1" x14ac:dyDescent="0.25">
      <c r="A58" s="103"/>
      <c r="B58" s="14">
        <v>12</v>
      </c>
      <c r="C58" s="11" t="s">
        <v>86</v>
      </c>
      <c r="D58" s="6" t="s">
        <v>27</v>
      </c>
      <c r="E58" s="5">
        <v>1600000</v>
      </c>
      <c r="F58" s="12">
        <v>30</v>
      </c>
      <c r="G58" s="5">
        <f>E58/30*F58</f>
        <v>1600000</v>
      </c>
      <c r="H58" s="5">
        <v>0</v>
      </c>
      <c r="I58" s="5"/>
      <c r="J58" s="5"/>
      <c r="K58" s="5">
        <f t="shared" ref="K58:K59" si="51">SUM(G58:I58)+J58</f>
        <v>1600000</v>
      </c>
      <c r="L58" s="5">
        <f>+G58*4%</f>
        <v>64000</v>
      </c>
      <c r="M58" s="5">
        <f>+G58*4%</f>
        <v>64000</v>
      </c>
      <c r="N58" s="5">
        <f>42237+95000</f>
        <v>137237</v>
      </c>
      <c r="O58" s="5"/>
      <c r="P58" s="5">
        <v>0</v>
      </c>
      <c r="Q58" s="5"/>
      <c r="R58" s="5"/>
      <c r="S58" s="5"/>
      <c r="T58" s="5">
        <f>SUM(L58:S58)</f>
        <v>265237</v>
      </c>
      <c r="U58" s="7">
        <f t="shared" si="47"/>
        <v>1334763</v>
      </c>
      <c r="V58" s="8"/>
      <c r="W58" s="9"/>
      <c r="X58" s="8">
        <f t="shared" si="4"/>
        <v>1334763</v>
      </c>
    </row>
    <row r="59" spans="1:24" ht="17.25" customHeight="1" x14ac:dyDescent="0.25">
      <c r="A59" s="103"/>
      <c r="B59" s="14">
        <v>13</v>
      </c>
      <c r="C59" s="11" t="s">
        <v>87</v>
      </c>
      <c r="D59" s="6" t="s">
        <v>27</v>
      </c>
      <c r="E59" s="5">
        <v>1500000</v>
      </c>
      <c r="F59" s="12">
        <v>30</v>
      </c>
      <c r="G59" s="5">
        <f>E59/30*F59</f>
        <v>1500000</v>
      </c>
      <c r="H59" s="5"/>
      <c r="I59" s="5"/>
      <c r="J59" s="5"/>
      <c r="K59" s="5">
        <f t="shared" si="51"/>
        <v>1500000</v>
      </c>
      <c r="L59" s="5">
        <f>+G59*4%</f>
        <v>60000</v>
      </c>
      <c r="M59" s="5">
        <f t="shared" ref="M59:M60" si="52">+G59*4%</f>
        <v>60000</v>
      </c>
      <c r="N59" s="5">
        <v>0</v>
      </c>
      <c r="O59" s="5"/>
      <c r="P59" s="5">
        <v>0</v>
      </c>
      <c r="Q59" s="5"/>
      <c r="R59" s="5"/>
      <c r="S59" s="5">
        <v>422966</v>
      </c>
      <c r="T59" s="5">
        <f t="shared" ref="T59" si="53">SUM(L59:S59)</f>
        <v>542966</v>
      </c>
      <c r="U59" s="7">
        <f t="shared" si="47"/>
        <v>957034</v>
      </c>
      <c r="V59" s="8"/>
      <c r="W59" s="9"/>
      <c r="X59" s="8">
        <f t="shared" si="4"/>
        <v>957034</v>
      </c>
    </row>
    <row r="60" spans="1:24" ht="17.25" customHeight="1" x14ac:dyDescent="0.25">
      <c r="A60" s="103"/>
      <c r="B60" s="14">
        <v>14</v>
      </c>
      <c r="C60" s="11" t="s">
        <v>175</v>
      </c>
      <c r="D60" s="6" t="s">
        <v>27</v>
      </c>
      <c r="E60" s="5">
        <v>737717</v>
      </c>
      <c r="F60" s="12">
        <v>30</v>
      </c>
      <c r="G60" s="5">
        <f>E60/30*F60</f>
        <v>737717</v>
      </c>
      <c r="H60" s="5">
        <f>+(83140/30)*F60</f>
        <v>83140</v>
      </c>
      <c r="I60" s="5"/>
      <c r="J60" s="5"/>
      <c r="K60" s="5">
        <f t="shared" ref="K60" si="54">SUM(G60:I60)+J60</f>
        <v>820857</v>
      </c>
      <c r="L60" s="5">
        <f>+G60*4%</f>
        <v>29508.68</v>
      </c>
      <c r="M60" s="5">
        <f t="shared" si="52"/>
        <v>29508.68</v>
      </c>
      <c r="N60" s="5"/>
      <c r="O60" s="5"/>
      <c r="P60" s="5">
        <v>0</v>
      </c>
      <c r="Q60" s="5"/>
      <c r="R60" s="5"/>
      <c r="S60" s="5"/>
      <c r="T60" s="5">
        <v>59018</v>
      </c>
      <c r="U60" s="7">
        <f t="shared" si="47"/>
        <v>761839</v>
      </c>
      <c r="V60" s="8"/>
      <c r="W60" s="9"/>
      <c r="X60" s="8">
        <f t="shared" si="4"/>
        <v>761839</v>
      </c>
    </row>
    <row r="61" spans="1:24" ht="24" x14ac:dyDescent="0.25">
      <c r="A61" s="103"/>
      <c r="B61" s="14">
        <v>15</v>
      </c>
      <c r="C61" s="11" t="s">
        <v>88</v>
      </c>
      <c r="D61" s="6" t="s">
        <v>27</v>
      </c>
      <c r="E61" s="5">
        <v>2000000</v>
      </c>
      <c r="F61" s="12">
        <v>30</v>
      </c>
      <c r="G61" s="5">
        <f>E61/30*F61</f>
        <v>2000000.0000000002</v>
      </c>
      <c r="H61" s="5"/>
      <c r="I61" s="5"/>
      <c r="J61" s="5"/>
      <c r="K61" s="5">
        <f t="shared" si="30"/>
        <v>2000000.0000000002</v>
      </c>
      <c r="L61" s="5">
        <f>+G61*4%</f>
        <v>80000.000000000015</v>
      </c>
      <c r="M61" s="5">
        <v>80000</v>
      </c>
      <c r="N61" s="5"/>
      <c r="O61" s="5"/>
      <c r="P61" s="5">
        <v>0</v>
      </c>
      <c r="Q61" s="5"/>
      <c r="R61" s="5"/>
      <c r="S61" s="5">
        <v>323803</v>
      </c>
      <c r="T61" s="5">
        <f t="shared" si="44"/>
        <v>483803</v>
      </c>
      <c r="U61" s="7">
        <f t="shared" si="47"/>
        <v>1516197.0000000002</v>
      </c>
      <c r="V61" s="8"/>
      <c r="W61" s="9"/>
      <c r="X61" s="8">
        <f t="shared" si="4"/>
        <v>1516197.0000000002</v>
      </c>
    </row>
    <row r="62" spans="1:24" x14ac:dyDescent="0.25">
      <c r="A62" s="103"/>
      <c r="B62" s="14">
        <v>16</v>
      </c>
      <c r="C62" s="3" t="s">
        <v>89</v>
      </c>
      <c r="D62" s="4" t="s">
        <v>27</v>
      </c>
      <c r="E62" s="5">
        <v>3500000</v>
      </c>
      <c r="F62" s="12">
        <v>30</v>
      </c>
      <c r="G62" s="5">
        <f>E62/30*F62</f>
        <v>3500000</v>
      </c>
      <c r="H62" s="5"/>
      <c r="I62" s="5"/>
      <c r="J62" s="5"/>
      <c r="K62" s="5">
        <f t="shared" si="30"/>
        <v>3500000</v>
      </c>
      <c r="L62" s="5">
        <f>+K62*4%</f>
        <v>140000</v>
      </c>
      <c r="M62" s="5">
        <f>+K62*5%</f>
        <v>175000</v>
      </c>
      <c r="N62" s="5"/>
      <c r="O62" s="5"/>
      <c r="P62" s="5">
        <v>0</v>
      </c>
      <c r="Q62" s="5"/>
      <c r="R62" s="5"/>
      <c r="S62" s="5"/>
      <c r="T62" s="5">
        <f t="shared" si="44"/>
        <v>315000</v>
      </c>
      <c r="U62" s="7">
        <f t="shared" ref="U62:U73" si="55">K62-T62</f>
        <v>3185000</v>
      </c>
      <c r="V62" s="8"/>
      <c r="W62" s="9"/>
      <c r="X62" s="8">
        <f t="shared" si="4"/>
        <v>3185000</v>
      </c>
    </row>
    <row r="63" spans="1:24" x14ac:dyDescent="0.25">
      <c r="A63" s="103"/>
      <c r="B63" s="14">
        <v>17</v>
      </c>
      <c r="C63" s="11" t="s">
        <v>90</v>
      </c>
      <c r="D63" s="6" t="s">
        <v>27</v>
      </c>
      <c r="E63" s="5">
        <v>4000000</v>
      </c>
      <c r="F63" s="12">
        <v>30</v>
      </c>
      <c r="G63" s="5">
        <f t="shared" ref="G63:G110" si="56">E63/30*F63</f>
        <v>4000000.0000000005</v>
      </c>
      <c r="H63" s="5"/>
      <c r="I63" s="5">
        <v>300000</v>
      </c>
      <c r="J63" s="5">
        <v>166670</v>
      </c>
      <c r="K63" s="5">
        <f t="shared" si="30"/>
        <v>4466670</v>
      </c>
      <c r="L63" s="5">
        <v>160000</v>
      </c>
      <c r="M63" s="5">
        <v>200000</v>
      </c>
      <c r="N63" s="5"/>
      <c r="O63" s="5"/>
      <c r="P63" s="5">
        <v>3000</v>
      </c>
      <c r="Q63" s="5"/>
      <c r="R63" s="5"/>
      <c r="S63" s="5">
        <v>0</v>
      </c>
      <c r="T63" s="5">
        <f t="shared" si="44"/>
        <v>363000</v>
      </c>
      <c r="U63" s="7">
        <f t="shared" si="55"/>
        <v>4103670</v>
      </c>
      <c r="V63" s="8"/>
      <c r="W63" s="9"/>
      <c r="X63" s="8">
        <f t="shared" si="4"/>
        <v>4103670</v>
      </c>
    </row>
    <row r="64" spans="1:24" x14ac:dyDescent="0.25">
      <c r="A64" s="103"/>
      <c r="B64" s="14">
        <v>18</v>
      </c>
      <c r="C64" s="11" t="s">
        <v>91</v>
      </c>
      <c r="D64" s="6" t="s">
        <v>27</v>
      </c>
      <c r="E64" s="5">
        <v>800000</v>
      </c>
      <c r="F64" s="12">
        <v>30</v>
      </c>
      <c r="G64" s="5">
        <f t="shared" si="56"/>
        <v>800000</v>
      </c>
      <c r="H64" s="5">
        <f>+(83140/30)*F64</f>
        <v>83140</v>
      </c>
      <c r="I64" s="5"/>
      <c r="J64" s="5"/>
      <c r="K64" s="5">
        <f t="shared" si="30"/>
        <v>883140</v>
      </c>
      <c r="L64" s="5">
        <f>+G64*4%</f>
        <v>32000</v>
      </c>
      <c r="M64" s="5">
        <f>+G64*4%</f>
        <v>32000</v>
      </c>
      <c r="N64" s="5">
        <f>74413+83332</f>
        <v>157745</v>
      </c>
      <c r="O64" s="5"/>
      <c r="P64" s="5"/>
      <c r="Q64" s="5"/>
      <c r="R64" s="5"/>
      <c r="S64" s="5"/>
      <c r="T64" s="5">
        <f t="shared" si="44"/>
        <v>221745</v>
      </c>
      <c r="U64" s="7">
        <f t="shared" si="55"/>
        <v>661395</v>
      </c>
      <c r="V64" s="8"/>
      <c r="W64" s="9"/>
      <c r="X64" s="8">
        <f t="shared" si="4"/>
        <v>661395</v>
      </c>
    </row>
    <row r="65" spans="1:27" ht="17.25" customHeight="1" x14ac:dyDescent="0.25">
      <c r="A65" s="103"/>
      <c r="B65" s="14">
        <v>19</v>
      </c>
      <c r="C65" s="11" t="s">
        <v>92</v>
      </c>
      <c r="D65" s="6" t="s">
        <v>27</v>
      </c>
      <c r="E65" s="5">
        <v>3500000</v>
      </c>
      <c r="F65" s="12">
        <v>30</v>
      </c>
      <c r="G65" s="5">
        <f t="shared" si="56"/>
        <v>3500000</v>
      </c>
      <c r="H65" s="5">
        <v>0</v>
      </c>
      <c r="I65" s="5"/>
      <c r="J65" s="5"/>
      <c r="K65" s="5">
        <f t="shared" si="30"/>
        <v>3500000</v>
      </c>
      <c r="L65" s="5">
        <v>140000</v>
      </c>
      <c r="M65" s="5">
        <v>175000</v>
      </c>
      <c r="N65" s="5"/>
      <c r="O65" s="5"/>
      <c r="P65" s="5">
        <v>0</v>
      </c>
      <c r="Q65" s="5"/>
      <c r="R65" s="5"/>
      <c r="S65" s="5"/>
      <c r="T65" s="5">
        <f t="shared" si="44"/>
        <v>315000</v>
      </c>
      <c r="U65" s="7">
        <f t="shared" si="55"/>
        <v>3185000</v>
      </c>
      <c r="V65" s="8"/>
      <c r="W65" s="9"/>
      <c r="X65" s="8">
        <f t="shared" si="4"/>
        <v>3185000</v>
      </c>
    </row>
    <row r="66" spans="1:27" ht="17.25" customHeight="1" x14ac:dyDescent="0.25">
      <c r="A66" s="103"/>
      <c r="B66" s="14">
        <v>20</v>
      </c>
      <c r="C66" s="11" t="s">
        <v>93</v>
      </c>
      <c r="D66" s="6" t="s">
        <v>27</v>
      </c>
      <c r="E66" s="5">
        <v>1550000</v>
      </c>
      <c r="F66" s="12">
        <v>30</v>
      </c>
      <c r="G66" s="5">
        <f t="shared" si="56"/>
        <v>1550000</v>
      </c>
      <c r="H66" s="5"/>
      <c r="I66" s="5"/>
      <c r="J66" s="5"/>
      <c r="K66" s="5">
        <f t="shared" ref="K66:K69" si="57">SUM(G66:I66)+J66</f>
        <v>1550000</v>
      </c>
      <c r="L66" s="5">
        <f>+E66*4%</f>
        <v>62000</v>
      </c>
      <c r="M66" s="5">
        <f>+E66*4%</f>
        <v>62000</v>
      </c>
      <c r="N66" s="5"/>
      <c r="O66" s="5"/>
      <c r="P66" s="5"/>
      <c r="Q66" s="5"/>
      <c r="R66" s="5"/>
      <c r="S66" s="5"/>
      <c r="T66" s="5">
        <f t="shared" ref="T66:T69" si="58">SUM(L66:S66)</f>
        <v>124000</v>
      </c>
      <c r="U66" s="7">
        <f t="shared" si="55"/>
        <v>1426000</v>
      </c>
      <c r="V66" s="8"/>
      <c r="W66" s="9"/>
      <c r="X66" s="8">
        <f t="shared" si="4"/>
        <v>1426000</v>
      </c>
    </row>
    <row r="67" spans="1:27" ht="17.25" customHeight="1" x14ac:dyDescent="0.25">
      <c r="A67" s="103"/>
      <c r="B67" s="14">
        <v>21</v>
      </c>
      <c r="C67" s="11" t="s">
        <v>165</v>
      </c>
      <c r="D67" s="6"/>
      <c r="E67" s="5">
        <v>2800000</v>
      </c>
      <c r="F67" s="12">
        <v>30</v>
      </c>
      <c r="G67" s="5">
        <f t="shared" si="56"/>
        <v>2800000</v>
      </c>
      <c r="H67" s="5"/>
      <c r="I67" s="5"/>
      <c r="J67" s="5"/>
      <c r="K67" s="5">
        <f t="shared" ref="K67" si="59">SUM(G67:I67)+J67</f>
        <v>2800000</v>
      </c>
      <c r="L67" s="5">
        <v>112000</v>
      </c>
      <c r="M67" s="5">
        <v>112000</v>
      </c>
      <c r="N67" s="5"/>
      <c r="O67" s="5"/>
      <c r="P67" s="5"/>
      <c r="Q67" s="5"/>
      <c r="R67" s="5"/>
      <c r="S67" s="5"/>
      <c r="T67" s="5">
        <f t="shared" ref="T67:T68" si="60">SUM(L67:S67)</f>
        <v>224000</v>
      </c>
      <c r="U67" s="7">
        <f t="shared" si="55"/>
        <v>2576000</v>
      </c>
      <c r="V67" s="8"/>
      <c r="W67" s="9"/>
      <c r="X67" s="8">
        <f t="shared" si="4"/>
        <v>2576000</v>
      </c>
    </row>
    <row r="68" spans="1:27" ht="17.25" customHeight="1" x14ac:dyDescent="0.25">
      <c r="A68" s="103"/>
      <c r="B68" s="14">
        <v>22</v>
      </c>
      <c r="C68" s="11" t="s">
        <v>94</v>
      </c>
      <c r="D68" s="6"/>
      <c r="E68" s="5">
        <v>1200000</v>
      </c>
      <c r="F68" s="12">
        <v>30</v>
      </c>
      <c r="G68" s="5">
        <f t="shared" si="56"/>
        <v>1200000</v>
      </c>
      <c r="H68" s="5">
        <f>+(83140/30)*F68</f>
        <v>83140</v>
      </c>
      <c r="I68" s="5"/>
      <c r="J68" s="5"/>
      <c r="K68" s="5">
        <f t="shared" ref="K68" si="61">SUM(G68:I68)+J68</f>
        <v>1283140</v>
      </c>
      <c r="L68" s="5">
        <f>+G68*4%</f>
        <v>48000</v>
      </c>
      <c r="M68" s="5">
        <f>+G68*4%</f>
        <v>48000</v>
      </c>
      <c r="N68" s="5"/>
      <c r="O68" s="5"/>
      <c r="P68" s="5"/>
      <c r="Q68" s="5"/>
      <c r="R68" s="5"/>
      <c r="S68" s="5"/>
      <c r="T68" s="5">
        <f t="shared" si="60"/>
        <v>96000</v>
      </c>
      <c r="U68" s="7">
        <f t="shared" si="55"/>
        <v>1187140</v>
      </c>
      <c r="V68" s="8"/>
      <c r="W68" s="9"/>
      <c r="X68" s="8">
        <f t="shared" si="4"/>
        <v>1187140</v>
      </c>
    </row>
    <row r="69" spans="1:27" ht="20.25" customHeight="1" x14ac:dyDescent="0.25">
      <c r="A69" s="103"/>
      <c r="B69" s="14">
        <v>23</v>
      </c>
      <c r="C69" s="11" t="s">
        <v>166</v>
      </c>
      <c r="D69" s="6" t="s">
        <v>27</v>
      </c>
      <c r="E69" s="5">
        <v>1500000</v>
      </c>
      <c r="F69" s="12">
        <v>30</v>
      </c>
      <c r="G69" s="5">
        <f t="shared" si="56"/>
        <v>1500000</v>
      </c>
      <c r="H69" s="5"/>
      <c r="I69" s="5"/>
      <c r="J69" s="5"/>
      <c r="K69" s="5">
        <f t="shared" si="57"/>
        <v>1500000</v>
      </c>
      <c r="L69" s="5">
        <f>+G69*4%</f>
        <v>60000</v>
      </c>
      <c r="M69" s="5">
        <f>+G69*4%</f>
        <v>60000</v>
      </c>
      <c r="N69" s="5">
        <v>135000</v>
      </c>
      <c r="O69" s="5"/>
      <c r="P69" s="5"/>
      <c r="Q69" s="5"/>
      <c r="R69" s="5"/>
      <c r="S69" s="5"/>
      <c r="T69" s="5">
        <f t="shared" si="58"/>
        <v>255000</v>
      </c>
      <c r="U69" s="7">
        <f>K69-T69</f>
        <v>1245000</v>
      </c>
      <c r="V69" s="8"/>
      <c r="W69" s="9"/>
      <c r="X69" s="8">
        <f t="shared" ref="X69:X112" si="62">U69+V69-W69</f>
        <v>1245000</v>
      </c>
    </row>
    <row r="70" spans="1:27" ht="29.25" customHeight="1" x14ac:dyDescent="0.25">
      <c r="A70" s="103"/>
      <c r="B70" s="14">
        <v>24</v>
      </c>
      <c r="C70" s="11" t="s">
        <v>167</v>
      </c>
      <c r="D70" s="6" t="s">
        <v>27</v>
      </c>
      <c r="E70" s="5">
        <v>2500000</v>
      </c>
      <c r="F70" s="12">
        <v>30</v>
      </c>
      <c r="G70" s="5">
        <f>+E70-J70</f>
        <v>2500000</v>
      </c>
      <c r="H70" s="5"/>
      <c r="I70" s="5"/>
      <c r="J70" s="5"/>
      <c r="K70" s="5">
        <f t="shared" si="30"/>
        <v>2500000</v>
      </c>
      <c r="L70" s="5">
        <f>+G70*4%</f>
        <v>100000</v>
      </c>
      <c r="M70" s="5">
        <f>+G70*4%</f>
        <v>100000</v>
      </c>
      <c r="N70" s="5"/>
      <c r="O70" s="5"/>
      <c r="P70" s="5">
        <v>0</v>
      </c>
      <c r="Q70" s="5"/>
      <c r="R70" s="5"/>
      <c r="S70" s="5">
        <v>363928</v>
      </c>
      <c r="T70" s="5">
        <f>SUM(L70:S70)</f>
        <v>563928</v>
      </c>
      <c r="U70" s="7">
        <f>K70-T70</f>
        <v>1936072</v>
      </c>
      <c r="V70" s="8"/>
      <c r="W70" s="9"/>
      <c r="X70" s="8">
        <f t="shared" si="62"/>
        <v>1936072</v>
      </c>
      <c r="AA70" s="10">
        <f>1196000+644000</f>
        <v>1840000</v>
      </c>
    </row>
    <row r="71" spans="1:27" ht="25.5" customHeight="1" x14ac:dyDescent="0.25">
      <c r="A71" s="103"/>
      <c r="B71" s="14">
        <v>25</v>
      </c>
      <c r="C71" s="11" t="s">
        <v>156</v>
      </c>
      <c r="D71" s="6"/>
      <c r="E71" s="5">
        <v>368858</v>
      </c>
      <c r="F71" s="12">
        <v>30</v>
      </c>
      <c r="G71" s="5">
        <f t="shared" si="56"/>
        <v>368858</v>
      </c>
      <c r="H71" s="5"/>
      <c r="I71" s="5"/>
      <c r="J71" s="5"/>
      <c r="K71" s="5">
        <f t="shared" ref="K71" si="63">SUM(G71:I71)+J71</f>
        <v>368858</v>
      </c>
      <c r="L71" s="5"/>
      <c r="M71" s="5"/>
      <c r="N71" s="5"/>
      <c r="O71" s="5"/>
      <c r="P71" s="5"/>
      <c r="Q71" s="5"/>
      <c r="R71" s="5"/>
      <c r="S71" s="5"/>
      <c r="T71" s="5">
        <f t="shared" ref="T71" si="64">SUM(L71:S71)</f>
        <v>0</v>
      </c>
      <c r="U71" s="7">
        <f t="shared" ref="U71" si="65">K71-T71</f>
        <v>368858</v>
      </c>
      <c r="V71" s="8"/>
      <c r="W71" s="9"/>
      <c r="X71" s="8">
        <f t="shared" si="62"/>
        <v>368858</v>
      </c>
    </row>
    <row r="72" spans="1:27" x14ac:dyDescent="0.25">
      <c r="A72" s="103"/>
      <c r="B72" s="14">
        <v>26</v>
      </c>
      <c r="C72" s="3" t="s">
        <v>101</v>
      </c>
      <c r="D72" s="4" t="s">
        <v>27</v>
      </c>
      <c r="E72" s="5">
        <v>800000</v>
      </c>
      <c r="F72" s="12">
        <v>30</v>
      </c>
      <c r="G72" s="5">
        <f t="shared" si="56"/>
        <v>800000</v>
      </c>
      <c r="H72" s="5">
        <f>+(83140/30)*F72</f>
        <v>83140</v>
      </c>
      <c r="I72" s="5"/>
      <c r="J72" s="5"/>
      <c r="K72" s="5">
        <f t="shared" si="30"/>
        <v>883140</v>
      </c>
      <c r="L72" s="5">
        <f>+G72*4%</f>
        <v>32000</v>
      </c>
      <c r="M72" s="5">
        <f>+G72*4%</f>
        <v>32000</v>
      </c>
      <c r="N72" s="5"/>
      <c r="O72" s="5"/>
      <c r="P72" s="5"/>
      <c r="Q72" s="5"/>
      <c r="R72" s="5"/>
      <c r="S72" s="5"/>
      <c r="T72" s="5">
        <f t="shared" si="44"/>
        <v>64000</v>
      </c>
      <c r="U72" s="7">
        <f t="shared" si="55"/>
        <v>819140</v>
      </c>
      <c r="V72" s="8"/>
      <c r="W72" s="9"/>
      <c r="X72" s="8">
        <f t="shared" si="62"/>
        <v>819140</v>
      </c>
      <c r="AA72" s="10">
        <f>1840000-1196000</f>
        <v>644000</v>
      </c>
    </row>
    <row r="73" spans="1:27" x14ac:dyDescent="0.25">
      <c r="A73" s="103"/>
      <c r="B73" s="14">
        <v>27</v>
      </c>
      <c r="C73" s="3" t="s">
        <v>176</v>
      </c>
      <c r="D73" s="4" t="s">
        <v>27</v>
      </c>
      <c r="E73" s="5">
        <v>1000000</v>
      </c>
      <c r="F73" s="12">
        <v>30</v>
      </c>
      <c r="G73" s="5">
        <f t="shared" si="56"/>
        <v>1000000.0000000001</v>
      </c>
      <c r="H73" s="5">
        <f>+(83140/30)*F73</f>
        <v>83140</v>
      </c>
      <c r="I73" s="5"/>
      <c r="J73" s="5"/>
      <c r="K73" s="5">
        <f t="shared" ref="K73" si="66">SUM(G73:I73)+J73</f>
        <v>1083140</v>
      </c>
      <c r="L73" s="5">
        <f>+G73*4%</f>
        <v>40000.000000000007</v>
      </c>
      <c r="M73" s="5">
        <f>+G73*4%</f>
        <v>40000.000000000007</v>
      </c>
      <c r="N73" s="5"/>
      <c r="O73" s="5"/>
      <c r="P73" s="5"/>
      <c r="Q73" s="5"/>
      <c r="R73" s="5"/>
      <c r="S73" s="5"/>
      <c r="T73" s="5">
        <f t="shared" ref="T73" si="67">SUM(L73:S73)</f>
        <v>80000.000000000015</v>
      </c>
      <c r="U73" s="7">
        <f t="shared" si="55"/>
        <v>1003140</v>
      </c>
      <c r="V73" s="8"/>
      <c r="W73" s="9"/>
      <c r="X73" s="8">
        <f t="shared" si="62"/>
        <v>1003140</v>
      </c>
      <c r="AA73" s="10">
        <f>1840000-1196000</f>
        <v>644000</v>
      </c>
    </row>
    <row r="74" spans="1:27" ht="21" customHeight="1" x14ac:dyDescent="0.25">
      <c r="A74" s="103"/>
      <c r="B74" s="14">
        <v>28</v>
      </c>
      <c r="C74" s="11" t="s">
        <v>184</v>
      </c>
      <c r="D74" s="6"/>
      <c r="E74" s="5">
        <v>3500000</v>
      </c>
      <c r="F74" s="12">
        <v>11</v>
      </c>
      <c r="G74" s="5">
        <f>+E74/30*F74</f>
        <v>1283333.3333333335</v>
      </c>
      <c r="H74" s="5">
        <v>155564</v>
      </c>
      <c r="I74" s="5"/>
      <c r="J74" s="5"/>
      <c r="K74" s="5">
        <f t="shared" ref="K74" si="68">SUM(G74:I74)+J74</f>
        <v>1438897.3333333335</v>
      </c>
      <c r="L74" s="5">
        <f>+G74*4%</f>
        <v>51333.333333333343</v>
      </c>
      <c r="M74" s="5">
        <f>+G74*4%</f>
        <v>51333.333333333343</v>
      </c>
      <c r="N74" s="5"/>
      <c r="O74" s="5"/>
      <c r="P74" s="5"/>
      <c r="Q74" s="5"/>
      <c r="R74" s="5"/>
      <c r="S74" s="5"/>
      <c r="T74" s="5">
        <f>SUM(L74:S74)</f>
        <v>102666.66666666669</v>
      </c>
      <c r="U74" s="7">
        <f>+K74-T74</f>
        <v>1336230.6666666667</v>
      </c>
      <c r="V74" s="8"/>
      <c r="W74" s="9"/>
      <c r="X74" s="8">
        <f t="shared" si="62"/>
        <v>1336230.6666666667</v>
      </c>
    </row>
    <row r="75" spans="1:27" x14ac:dyDescent="0.25">
      <c r="A75" s="103"/>
      <c r="B75" s="14">
        <v>29</v>
      </c>
      <c r="C75" s="11" t="s">
        <v>105</v>
      </c>
      <c r="D75" s="6" t="s">
        <v>27</v>
      </c>
      <c r="E75" s="5">
        <v>4000000</v>
      </c>
      <c r="F75" s="12">
        <v>30</v>
      </c>
      <c r="G75" s="5">
        <f>+E75-J75</f>
        <v>4000000</v>
      </c>
      <c r="H75" s="5"/>
      <c r="I75" s="5"/>
      <c r="J75" s="5"/>
      <c r="K75" s="5">
        <f t="shared" ref="K75" si="69">SUM(G75:I75)+J75</f>
        <v>4000000</v>
      </c>
      <c r="L75" s="5">
        <v>160000</v>
      </c>
      <c r="M75" s="5">
        <v>200000</v>
      </c>
      <c r="N75" s="5"/>
      <c r="O75" s="5"/>
      <c r="P75" s="5">
        <v>3000</v>
      </c>
      <c r="Q75" s="5"/>
      <c r="R75" s="5"/>
      <c r="S75" s="5"/>
      <c r="T75" s="5">
        <f t="shared" ref="T75" si="70">SUM(L75:S75)</f>
        <v>363000</v>
      </c>
      <c r="U75" s="7">
        <f>+K75-T75</f>
        <v>3637000</v>
      </c>
      <c r="V75" s="8"/>
      <c r="W75" s="9"/>
      <c r="X75" s="8">
        <f t="shared" si="62"/>
        <v>3637000</v>
      </c>
      <c r="Y75" s="10" t="s">
        <v>106</v>
      </c>
    </row>
    <row r="76" spans="1:27" ht="21" customHeight="1" x14ac:dyDescent="0.25">
      <c r="A76" s="103"/>
      <c r="B76" s="14">
        <v>30</v>
      </c>
      <c r="C76" s="3" t="s">
        <v>178</v>
      </c>
      <c r="D76" s="4"/>
      <c r="E76" s="5">
        <v>1600000</v>
      </c>
      <c r="F76" s="12">
        <v>30</v>
      </c>
      <c r="G76" s="5">
        <f t="shared" ref="G76" si="71">E76/30*F76</f>
        <v>1600000</v>
      </c>
      <c r="H76" s="5"/>
      <c r="I76" s="5"/>
      <c r="J76" s="5"/>
      <c r="K76" s="5">
        <f t="shared" ref="K76" si="72">SUM(G76:I76)+J76</f>
        <v>1600000</v>
      </c>
      <c r="L76" s="5">
        <f>+G76*4%</f>
        <v>64000</v>
      </c>
      <c r="M76" s="5">
        <f>+G76*4%</f>
        <v>64000</v>
      </c>
      <c r="N76" s="5"/>
      <c r="O76" s="5"/>
      <c r="P76" s="5"/>
      <c r="Q76" s="5"/>
      <c r="R76" s="5"/>
      <c r="S76" s="5"/>
      <c r="T76" s="5">
        <f>SUM(L76:S76)</f>
        <v>128000</v>
      </c>
      <c r="U76" s="7">
        <f t="shared" ref="U76" si="73">K76-T76</f>
        <v>1472000</v>
      </c>
      <c r="V76" s="8"/>
      <c r="W76" s="9"/>
      <c r="X76" s="8">
        <f t="shared" si="62"/>
        <v>1472000</v>
      </c>
    </row>
    <row r="77" spans="1:27" x14ac:dyDescent="0.25">
      <c r="A77" s="103"/>
      <c r="B77" s="14">
        <v>31</v>
      </c>
      <c r="C77" s="11" t="s">
        <v>107</v>
      </c>
      <c r="D77" s="6" t="s">
        <v>27</v>
      </c>
      <c r="E77" s="5">
        <v>1500000</v>
      </c>
      <c r="F77" s="12">
        <v>30</v>
      </c>
      <c r="G77" s="5">
        <f t="shared" si="56"/>
        <v>1500000</v>
      </c>
      <c r="H77" s="5"/>
      <c r="I77" s="5"/>
      <c r="J77" s="5"/>
      <c r="K77" s="5">
        <f t="shared" ref="K77" si="74">SUM(G77:I77)+J77</f>
        <v>1500000</v>
      </c>
      <c r="L77" s="5">
        <f>+G77*4%</f>
        <v>60000</v>
      </c>
      <c r="M77" s="5">
        <f>+G77*4%</f>
        <v>60000</v>
      </c>
      <c r="N77" s="5"/>
      <c r="O77" s="5"/>
      <c r="P77" s="5">
        <v>0</v>
      </c>
      <c r="Q77" s="5"/>
      <c r="R77" s="5"/>
      <c r="S77" s="5"/>
      <c r="T77" s="5">
        <f t="shared" ref="T77" si="75">SUM(L77:S77)</f>
        <v>120000</v>
      </c>
      <c r="U77" s="7">
        <f t="shared" ref="U77:U82" si="76">+K77-T77</f>
        <v>1380000</v>
      </c>
      <c r="V77" s="8"/>
      <c r="W77" s="9"/>
      <c r="X77" s="8">
        <f t="shared" si="62"/>
        <v>1380000</v>
      </c>
      <c r="Y77" s="10" t="s">
        <v>106</v>
      </c>
    </row>
    <row r="78" spans="1:27" x14ac:dyDescent="0.25">
      <c r="A78" s="103"/>
      <c r="B78" s="14">
        <v>32</v>
      </c>
      <c r="C78" s="11" t="s">
        <v>108</v>
      </c>
      <c r="D78" s="6" t="s">
        <v>27</v>
      </c>
      <c r="E78" s="5">
        <v>3000000</v>
      </c>
      <c r="F78" s="12">
        <v>30</v>
      </c>
      <c r="G78" s="5">
        <f t="shared" si="56"/>
        <v>3000000</v>
      </c>
      <c r="H78" s="5"/>
      <c r="I78" s="5"/>
      <c r="J78" s="5"/>
      <c r="K78" s="5">
        <f t="shared" si="30"/>
        <v>3000000</v>
      </c>
      <c r="L78" s="5">
        <f>+E78*4%</f>
        <v>120000</v>
      </c>
      <c r="M78" s="5">
        <f>+E78*5%</f>
        <v>150000</v>
      </c>
      <c r="N78" s="5"/>
      <c r="O78" s="5"/>
      <c r="P78" s="17">
        <v>0</v>
      </c>
      <c r="Q78" s="5"/>
      <c r="R78" s="5">
        <v>0</v>
      </c>
      <c r="S78" s="5">
        <v>795577</v>
      </c>
      <c r="T78" s="5">
        <f t="shared" si="44"/>
        <v>1065577</v>
      </c>
      <c r="U78" s="7">
        <f t="shared" si="76"/>
        <v>1934423</v>
      </c>
      <c r="V78" s="8"/>
      <c r="W78" s="9"/>
      <c r="X78" s="8">
        <f t="shared" si="62"/>
        <v>1934423</v>
      </c>
    </row>
    <row r="79" spans="1:27" x14ac:dyDescent="0.25">
      <c r="A79" s="103"/>
      <c r="B79" s="14">
        <v>33</v>
      </c>
      <c r="C79" s="11" t="s">
        <v>168</v>
      </c>
      <c r="D79" s="6"/>
      <c r="E79" s="5">
        <v>4500000</v>
      </c>
      <c r="F79" s="12">
        <v>30</v>
      </c>
      <c r="G79" s="5">
        <f t="shared" si="56"/>
        <v>4500000</v>
      </c>
      <c r="H79" s="5"/>
      <c r="I79" s="5"/>
      <c r="J79" s="5"/>
      <c r="K79" s="5">
        <f t="shared" ref="K79:K82" si="77">SUM(G79:I79)+J79</f>
        <v>4500000</v>
      </c>
      <c r="L79" s="5">
        <f>+G79*4%</f>
        <v>180000</v>
      </c>
      <c r="M79" s="5">
        <f>+G79*5%</f>
        <v>225000</v>
      </c>
      <c r="N79" s="5"/>
      <c r="O79" s="5"/>
      <c r="P79" s="17">
        <v>18000</v>
      </c>
      <c r="Q79" s="5"/>
      <c r="R79" s="5"/>
      <c r="S79" s="5"/>
      <c r="T79" s="5">
        <f t="shared" ref="T79:T80" si="78">SUM(L79:S79)</f>
        <v>423000</v>
      </c>
      <c r="U79" s="7">
        <f t="shared" si="76"/>
        <v>4077000</v>
      </c>
      <c r="V79" s="8"/>
      <c r="W79" s="9"/>
      <c r="X79" s="8">
        <f t="shared" si="62"/>
        <v>4077000</v>
      </c>
    </row>
    <row r="80" spans="1:27" x14ac:dyDescent="0.25">
      <c r="A80" s="103"/>
      <c r="B80" s="14">
        <v>34</v>
      </c>
      <c r="C80" s="11" t="s">
        <v>109</v>
      </c>
      <c r="D80" s="6"/>
      <c r="E80" s="5">
        <v>4500000</v>
      </c>
      <c r="F80" s="12">
        <v>30</v>
      </c>
      <c r="G80" s="5">
        <f t="shared" si="56"/>
        <v>4500000</v>
      </c>
      <c r="H80" s="5"/>
      <c r="I80" s="5"/>
      <c r="J80" s="5"/>
      <c r="K80" s="5">
        <f t="shared" si="77"/>
        <v>4500000</v>
      </c>
      <c r="L80" s="5">
        <f>+G80*4%</f>
        <v>180000</v>
      </c>
      <c r="M80" s="5">
        <f>+G80*5%</f>
        <v>225000</v>
      </c>
      <c r="N80" s="5"/>
      <c r="O80" s="5"/>
      <c r="P80" s="17">
        <v>72000</v>
      </c>
      <c r="Q80" s="5"/>
      <c r="R80" s="5"/>
      <c r="S80" s="5"/>
      <c r="T80" s="5">
        <f t="shared" si="78"/>
        <v>477000</v>
      </c>
      <c r="U80" s="7">
        <f t="shared" si="76"/>
        <v>4023000</v>
      </c>
      <c r="V80" s="8"/>
      <c r="W80" s="9"/>
      <c r="X80" s="8">
        <f t="shared" si="62"/>
        <v>4023000</v>
      </c>
    </row>
    <row r="81" spans="1:24" x14ac:dyDescent="0.25">
      <c r="A81" s="103"/>
      <c r="B81" s="14">
        <v>35</v>
      </c>
      <c r="C81" s="11" t="s">
        <v>169</v>
      </c>
      <c r="D81" s="6"/>
      <c r="E81" s="5">
        <v>737717</v>
      </c>
      <c r="F81" s="12">
        <v>30</v>
      </c>
      <c r="G81" s="5">
        <f t="shared" si="56"/>
        <v>737717</v>
      </c>
      <c r="H81" s="5">
        <f t="shared" ref="H81:H82" si="79">+(83140/30)*F81</f>
        <v>83140</v>
      </c>
      <c r="I81" s="5"/>
      <c r="J81" s="5"/>
      <c r="K81" s="5">
        <f t="shared" si="77"/>
        <v>820857</v>
      </c>
      <c r="L81" s="5">
        <f t="shared" ref="L81:L82" si="80">+G81*4%</f>
        <v>29508.68</v>
      </c>
      <c r="M81" s="5">
        <f>+G81*4%</f>
        <v>29508.68</v>
      </c>
      <c r="N81" s="5"/>
      <c r="O81" s="5"/>
      <c r="P81" s="17"/>
      <c r="Q81" s="5"/>
      <c r="R81" s="5"/>
      <c r="S81" s="5"/>
      <c r="T81" s="5">
        <v>59018</v>
      </c>
      <c r="U81" s="7">
        <f t="shared" si="76"/>
        <v>761839</v>
      </c>
      <c r="V81" s="8"/>
      <c r="W81" s="9"/>
      <c r="X81" s="8">
        <f t="shared" si="62"/>
        <v>761839</v>
      </c>
    </row>
    <row r="82" spans="1:24" x14ac:dyDescent="0.25">
      <c r="A82" s="103"/>
      <c r="B82" s="14">
        <v>36</v>
      </c>
      <c r="C82" s="11" t="s">
        <v>170</v>
      </c>
      <c r="D82" s="6"/>
      <c r="E82" s="5">
        <v>737717</v>
      </c>
      <c r="F82" s="12">
        <v>30</v>
      </c>
      <c r="G82" s="5">
        <f t="shared" si="56"/>
        <v>737717</v>
      </c>
      <c r="H82" s="5">
        <f t="shared" si="79"/>
        <v>83140</v>
      </c>
      <c r="I82" s="5"/>
      <c r="J82" s="5"/>
      <c r="K82" s="5">
        <f t="shared" si="77"/>
        <v>820857</v>
      </c>
      <c r="L82" s="5">
        <f t="shared" si="80"/>
        <v>29508.68</v>
      </c>
      <c r="M82" s="5">
        <f>+G82*4%</f>
        <v>29508.68</v>
      </c>
      <c r="N82" s="5"/>
      <c r="O82" s="5"/>
      <c r="P82" s="17"/>
      <c r="Q82" s="5"/>
      <c r="R82" s="5"/>
      <c r="S82" s="5"/>
      <c r="T82" s="5">
        <f>+T81</f>
        <v>59018</v>
      </c>
      <c r="U82" s="7">
        <f t="shared" si="76"/>
        <v>761839</v>
      </c>
      <c r="V82" s="8"/>
      <c r="W82" s="9"/>
      <c r="X82" s="8">
        <f t="shared" si="62"/>
        <v>761839</v>
      </c>
    </row>
    <row r="83" spans="1:24" ht="18" customHeight="1" x14ac:dyDescent="0.25">
      <c r="A83" s="103"/>
      <c r="B83" s="14">
        <v>37</v>
      </c>
      <c r="C83" s="11" t="s">
        <v>171</v>
      </c>
      <c r="D83" s="6"/>
      <c r="E83" s="5">
        <v>2500000</v>
      </c>
      <c r="F83" s="12">
        <v>30</v>
      </c>
      <c r="G83" s="5">
        <f t="shared" si="56"/>
        <v>2500000</v>
      </c>
      <c r="H83" s="5"/>
      <c r="I83" s="5">
        <v>350000</v>
      </c>
      <c r="J83" s="5"/>
      <c r="K83" s="5">
        <f>SUM(G83:I83)+J83</f>
        <v>2850000</v>
      </c>
      <c r="L83" s="5">
        <f>+G83*4%</f>
        <v>100000</v>
      </c>
      <c r="M83" s="5">
        <f>+G83*4%</f>
        <v>100000</v>
      </c>
      <c r="N83" s="5">
        <f>107500</f>
        <v>107500</v>
      </c>
      <c r="O83" s="5"/>
      <c r="P83" s="17"/>
      <c r="Q83" s="5"/>
      <c r="R83" s="5"/>
      <c r="S83" s="5"/>
      <c r="T83" s="5">
        <f>SUM(L83:S83)</f>
        <v>307500</v>
      </c>
      <c r="U83" s="7">
        <f>+K83-T83</f>
        <v>2542500</v>
      </c>
      <c r="V83" s="8"/>
      <c r="W83" s="9"/>
      <c r="X83" s="8">
        <f t="shared" si="62"/>
        <v>2542500</v>
      </c>
    </row>
    <row r="84" spans="1:24" ht="24" x14ac:dyDescent="0.25">
      <c r="A84" s="103"/>
      <c r="B84" s="14">
        <v>38</v>
      </c>
      <c r="C84" s="11" t="s">
        <v>110</v>
      </c>
      <c r="D84" s="6" t="s">
        <v>27</v>
      </c>
      <c r="E84" s="5">
        <v>1500000</v>
      </c>
      <c r="F84" s="12">
        <v>30</v>
      </c>
      <c r="G84" s="5">
        <f t="shared" si="56"/>
        <v>1500000</v>
      </c>
      <c r="H84" s="5"/>
      <c r="I84" s="5"/>
      <c r="J84" s="5"/>
      <c r="K84" s="5">
        <f t="shared" ref="K84" si="81">SUM(G84:I84)+J84</f>
        <v>1500000</v>
      </c>
      <c r="L84" s="5">
        <f>+G84*4%</f>
        <v>60000</v>
      </c>
      <c r="M84" s="5">
        <f>+G84*4%</f>
        <v>60000</v>
      </c>
      <c r="N84" s="5"/>
      <c r="O84" s="5"/>
      <c r="P84" s="17">
        <v>0</v>
      </c>
      <c r="Q84" s="5"/>
      <c r="R84" s="5"/>
      <c r="S84" s="5"/>
      <c r="T84" s="5">
        <f t="shared" ref="T84" si="82">SUM(L84:S84)</f>
        <v>120000</v>
      </c>
      <c r="U84" s="7">
        <f t="shared" ref="U84:U87" si="83">+K84-T84</f>
        <v>1380000</v>
      </c>
      <c r="V84" s="8"/>
      <c r="W84" s="9"/>
      <c r="X84" s="8">
        <f t="shared" si="62"/>
        <v>1380000</v>
      </c>
    </row>
    <row r="85" spans="1:24" ht="22.5" customHeight="1" x14ac:dyDescent="0.25">
      <c r="A85" s="103"/>
      <c r="B85" s="14">
        <v>39</v>
      </c>
      <c r="C85" s="11" t="s">
        <v>150</v>
      </c>
      <c r="D85" s="6"/>
      <c r="E85" s="5">
        <v>2500000</v>
      </c>
      <c r="F85" s="12">
        <v>30</v>
      </c>
      <c r="G85" s="5">
        <f t="shared" si="56"/>
        <v>2500000</v>
      </c>
      <c r="H85" s="5"/>
      <c r="I85" s="5"/>
      <c r="J85" s="5"/>
      <c r="K85" s="5">
        <f t="shared" ref="K85" si="84">SUM(G85:I85)+J85</f>
        <v>2500000</v>
      </c>
      <c r="L85" s="5">
        <f>+G85*4%</f>
        <v>100000</v>
      </c>
      <c r="M85" s="5">
        <f>+G85*4%</f>
        <v>100000</v>
      </c>
      <c r="N85" s="5">
        <f>93312+137450</f>
        <v>230762</v>
      </c>
      <c r="O85" s="5"/>
      <c r="P85" s="5">
        <v>0</v>
      </c>
      <c r="Q85" s="5"/>
      <c r="R85" s="5"/>
      <c r="S85" s="5"/>
      <c r="T85" s="5">
        <f>SUM(L85:S85)</f>
        <v>430762</v>
      </c>
      <c r="U85" s="7">
        <f t="shared" si="83"/>
        <v>2069238</v>
      </c>
      <c r="V85" s="8"/>
      <c r="W85" s="9"/>
      <c r="X85" s="8">
        <f t="shared" si="62"/>
        <v>2069238</v>
      </c>
    </row>
    <row r="86" spans="1:24" x14ac:dyDescent="0.25">
      <c r="A86" s="103"/>
      <c r="B86" s="14">
        <v>40</v>
      </c>
      <c r="C86" s="11" t="s">
        <v>172</v>
      </c>
      <c r="D86" s="6"/>
      <c r="E86" s="5">
        <v>3500000</v>
      </c>
      <c r="F86" s="12">
        <v>30</v>
      </c>
      <c r="G86" s="5">
        <f t="shared" si="56"/>
        <v>3500000</v>
      </c>
      <c r="H86" s="5"/>
      <c r="I86" s="5"/>
      <c r="J86" s="5"/>
      <c r="K86" s="5">
        <f t="shared" ref="K86" si="85">SUM(G86:I86)+J86</f>
        <v>3500000</v>
      </c>
      <c r="L86" s="5">
        <f>+G86*4%</f>
        <v>140000</v>
      </c>
      <c r="M86" s="5">
        <f>+G86*5%</f>
        <v>175000</v>
      </c>
      <c r="N86" s="5">
        <v>0</v>
      </c>
      <c r="O86" s="5"/>
      <c r="P86" s="5">
        <v>0</v>
      </c>
      <c r="Q86" s="5"/>
      <c r="R86" s="5"/>
      <c r="S86" s="5"/>
      <c r="T86" s="5">
        <f t="shared" ref="T86" si="86">SUM(L86:S86)</f>
        <v>315000</v>
      </c>
      <c r="U86" s="7">
        <f t="shared" si="83"/>
        <v>3185000</v>
      </c>
      <c r="V86" s="8"/>
      <c r="W86" s="9"/>
      <c r="X86" s="8">
        <f t="shared" si="62"/>
        <v>3185000</v>
      </c>
    </row>
    <row r="87" spans="1:24" x14ac:dyDescent="0.25">
      <c r="A87" s="103"/>
      <c r="B87" s="14">
        <v>41</v>
      </c>
      <c r="C87" s="11" t="s">
        <v>112</v>
      </c>
      <c r="D87" s="6" t="s">
        <v>27</v>
      </c>
      <c r="E87" s="5">
        <v>4500000</v>
      </c>
      <c r="F87" s="12">
        <v>30</v>
      </c>
      <c r="G87" s="5">
        <f t="shared" si="56"/>
        <v>4500000</v>
      </c>
      <c r="H87" s="5"/>
      <c r="I87" s="5">
        <v>328125</v>
      </c>
      <c r="J87" s="5"/>
      <c r="K87" s="5">
        <f t="shared" ref="K87:K89" si="87">SUM(G87:I87)+J87</f>
        <v>4828125</v>
      </c>
      <c r="L87" s="5">
        <v>180000</v>
      </c>
      <c r="M87" s="5">
        <v>225000</v>
      </c>
      <c r="N87" s="5"/>
      <c r="O87" s="5"/>
      <c r="P87" s="5">
        <v>72000</v>
      </c>
      <c r="Q87" s="5"/>
      <c r="R87" s="5"/>
      <c r="S87" s="5">
        <v>610699</v>
      </c>
      <c r="T87" s="5">
        <f t="shared" ref="T87" si="88">SUM(L87:S87)</f>
        <v>1087699</v>
      </c>
      <c r="U87" s="7">
        <f t="shared" si="83"/>
        <v>3740426</v>
      </c>
      <c r="V87" s="8"/>
      <c r="W87" s="9"/>
      <c r="X87" s="8">
        <f t="shared" si="62"/>
        <v>3740426</v>
      </c>
    </row>
    <row r="88" spans="1:24" ht="21.75" customHeight="1" x14ac:dyDescent="0.25">
      <c r="A88" s="103"/>
      <c r="B88" s="14">
        <v>42</v>
      </c>
      <c r="C88" s="11" t="s">
        <v>185</v>
      </c>
      <c r="D88" s="6"/>
      <c r="E88" s="5">
        <v>5400000</v>
      </c>
      <c r="F88" s="12">
        <v>13</v>
      </c>
      <c r="G88" s="5">
        <f>+E88/30*F88</f>
        <v>2340000</v>
      </c>
      <c r="H88" s="5"/>
      <c r="I88" s="5"/>
      <c r="J88" s="5"/>
      <c r="K88" s="5">
        <f>SUM(G88:I88)+J88</f>
        <v>2340000</v>
      </c>
      <c r="L88" s="5">
        <f>+G88*4%</f>
        <v>93600</v>
      </c>
      <c r="M88" s="5">
        <f>+G88*4%</f>
        <v>93600</v>
      </c>
      <c r="N88" s="5"/>
      <c r="O88" s="5"/>
      <c r="P88" s="5"/>
      <c r="Q88" s="5"/>
      <c r="R88" s="5"/>
      <c r="S88" s="5"/>
      <c r="T88" s="5">
        <f>SUM(L88:S88)</f>
        <v>187200</v>
      </c>
      <c r="U88" s="7">
        <f>+K88-T88</f>
        <v>2152800</v>
      </c>
      <c r="V88" s="8"/>
      <c r="W88" s="9"/>
      <c r="X88" s="8">
        <f t="shared" si="62"/>
        <v>2152800</v>
      </c>
    </row>
    <row r="89" spans="1:24" x14ac:dyDescent="0.25">
      <c r="A89" s="103"/>
      <c r="B89" s="14">
        <v>43</v>
      </c>
      <c r="C89" s="11" t="s">
        <v>113</v>
      </c>
      <c r="D89" s="6" t="s">
        <v>27</v>
      </c>
      <c r="E89" s="5">
        <v>4500000</v>
      </c>
      <c r="F89" s="12">
        <v>30</v>
      </c>
      <c r="G89" s="5">
        <f>+E89-J89</f>
        <v>4500000</v>
      </c>
      <c r="H89" s="5"/>
      <c r="I89" s="5"/>
      <c r="J89" s="5"/>
      <c r="K89" s="5">
        <f t="shared" si="87"/>
        <v>4500000</v>
      </c>
      <c r="L89" s="5">
        <f>+K89*4%</f>
        <v>180000</v>
      </c>
      <c r="M89" s="5">
        <f>+K89*5%</f>
        <v>225000</v>
      </c>
      <c r="N89" s="5">
        <v>0</v>
      </c>
      <c r="O89" s="5"/>
      <c r="P89" s="5">
        <v>8500</v>
      </c>
      <c r="Q89" s="5"/>
      <c r="R89" s="5"/>
      <c r="S89" s="5"/>
      <c r="T89" s="5">
        <f>SUM(L89:S89)</f>
        <v>413500</v>
      </c>
      <c r="U89" s="7">
        <f t="shared" ref="U89:U92" si="89">K89-T89</f>
        <v>4086500</v>
      </c>
      <c r="V89" s="8"/>
      <c r="W89" s="9"/>
      <c r="X89" s="8">
        <f t="shared" si="62"/>
        <v>4086500</v>
      </c>
    </row>
    <row r="90" spans="1:24" x14ac:dyDescent="0.25">
      <c r="A90" s="103"/>
      <c r="B90" s="14">
        <v>44</v>
      </c>
      <c r="C90" s="11" t="s">
        <v>114</v>
      </c>
      <c r="D90" s="6" t="s">
        <v>27</v>
      </c>
      <c r="E90" s="5">
        <v>3500000</v>
      </c>
      <c r="F90" s="12">
        <v>30</v>
      </c>
      <c r="G90" s="5">
        <f t="shared" si="56"/>
        <v>3500000</v>
      </c>
      <c r="H90" s="5"/>
      <c r="I90" s="5"/>
      <c r="J90" s="5"/>
      <c r="K90" s="5">
        <f t="shared" ref="K90:K109" si="90">SUM(G90:I90)+J90</f>
        <v>3500000</v>
      </c>
      <c r="L90" s="5">
        <f>+G90*4%</f>
        <v>140000</v>
      </c>
      <c r="M90" s="5">
        <f>+G90*5%</f>
        <v>175000</v>
      </c>
      <c r="N90" s="5">
        <v>0</v>
      </c>
      <c r="O90" s="5"/>
      <c r="P90" s="5">
        <v>0</v>
      </c>
      <c r="Q90" s="5"/>
      <c r="R90" s="5"/>
      <c r="S90" s="5"/>
      <c r="T90" s="5">
        <f t="shared" si="44"/>
        <v>315000</v>
      </c>
      <c r="U90" s="7">
        <f t="shared" si="89"/>
        <v>3185000</v>
      </c>
      <c r="V90" s="8"/>
      <c r="W90" s="9"/>
      <c r="X90" s="8">
        <f t="shared" si="62"/>
        <v>3185000</v>
      </c>
    </row>
    <row r="91" spans="1:24" ht="24" x14ac:dyDescent="0.25">
      <c r="A91" s="103"/>
      <c r="B91" s="14">
        <v>45</v>
      </c>
      <c r="C91" s="11" t="s">
        <v>116</v>
      </c>
      <c r="D91" s="6" t="s">
        <v>27</v>
      </c>
      <c r="E91" s="5">
        <v>1500000</v>
      </c>
      <c r="F91" s="12">
        <v>30</v>
      </c>
      <c r="G91" s="5">
        <f t="shared" si="56"/>
        <v>1500000</v>
      </c>
      <c r="H91" s="5"/>
      <c r="I91" s="5"/>
      <c r="J91" s="5"/>
      <c r="K91" s="5">
        <f t="shared" ref="K91" si="91">SUM(G91:I91)+J91</f>
        <v>1500000</v>
      </c>
      <c r="L91" s="5">
        <f>+G91*4%</f>
        <v>60000</v>
      </c>
      <c r="M91" s="5">
        <f>+G91*4%</f>
        <v>60000</v>
      </c>
      <c r="N91" s="5"/>
      <c r="O91" s="5"/>
      <c r="P91" s="5"/>
      <c r="Q91" s="5"/>
      <c r="R91" s="5"/>
      <c r="S91" s="5"/>
      <c r="T91" s="5">
        <f t="shared" ref="T91" si="92">SUM(L91:S91)</f>
        <v>120000</v>
      </c>
      <c r="U91" s="7">
        <f t="shared" si="89"/>
        <v>1380000</v>
      </c>
      <c r="V91" s="8"/>
      <c r="W91" s="9"/>
      <c r="X91" s="8">
        <f t="shared" si="62"/>
        <v>1380000</v>
      </c>
    </row>
    <row r="92" spans="1:24" ht="23.25" customHeight="1" x14ac:dyDescent="0.25">
      <c r="A92" s="103"/>
      <c r="B92" s="14">
        <v>46</v>
      </c>
      <c r="C92" s="3" t="s">
        <v>117</v>
      </c>
      <c r="D92" s="4" t="s">
        <v>27</v>
      </c>
      <c r="E92" s="5">
        <v>737717</v>
      </c>
      <c r="F92" s="12">
        <v>30</v>
      </c>
      <c r="G92" s="5">
        <f t="shared" si="56"/>
        <v>737717</v>
      </c>
      <c r="H92" s="5">
        <v>83140</v>
      </c>
      <c r="I92" s="5">
        <v>30736</v>
      </c>
      <c r="J92" s="5"/>
      <c r="K92" s="5">
        <f t="shared" si="90"/>
        <v>851593</v>
      </c>
      <c r="L92" s="5">
        <v>29509</v>
      </c>
      <c r="M92" s="5">
        <v>29509</v>
      </c>
      <c r="N92" s="5">
        <v>106666</v>
      </c>
      <c r="O92" s="5"/>
      <c r="P92" s="5">
        <v>0</v>
      </c>
      <c r="Q92" s="5"/>
      <c r="R92" s="5"/>
      <c r="S92" s="5"/>
      <c r="T92" s="5">
        <f t="shared" si="44"/>
        <v>165684</v>
      </c>
      <c r="U92" s="7">
        <f t="shared" si="89"/>
        <v>685909</v>
      </c>
      <c r="V92" s="8"/>
      <c r="W92" s="9"/>
      <c r="X92" s="8">
        <f>U92+V92-W92</f>
        <v>685909</v>
      </c>
    </row>
    <row r="93" spans="1:24" ht="22.5" customHeight="1" x14ac:dyDescent="0.25">
      <c r="A93" s="103"/>
      <c r="B93" s="14">
        <v>47</v>
      </c>
      <c r="C93" s="3" t="s">
        <v>177</v>
      </c>
      <c r="D93" s="4"/>
      <c r="E93" s="5">
        <v>737717</v>
      </c>
      <c r="F93" s="12">
        <v>30</v>
      </c>
      <c r="G93" s="5">
        <f t="shared" si="56"/>
        <v>737717</v>
      </c>
      <c r="H93" s="5">
        <f t="shared" ref="H93" si="93">+(83140/30)*F93</f>
        <v>83140</v>
      </c>
      <c r="I93" s="5">
        <v>40346</v>
      </c>
      <c r="J93" s="5"/>
      <c r="K93" s="5">
        <f>SUM(G93:I93)+J93</f>
        <v>861203</v>
      </c>
      <c r="L93" s="5">
        <f>+G93*4%</f>
        <v>29508.68</v>
      </c>
      <c r="M93" s="5">
        <f>+G93*4%</f>
        <v>29508.68</v>
      </c>
      <c r="N93" s="5"/>
      <c r="O93" s="5"/>
      <c r="P93" s="5"/>
      <c r="Q93" s="5"/>
      <c r="R93" s="5"/>
      <c r="S93" s="5"/>
      <c r="T93" s="74">
        <v>59018</v>
      </c>
      <c r="U93" s="7">
        <f>K93-T93</f>
        <v>802185</v>
      </c>
      <c r="V93" s="8"/>
      <c r="W93" s="9"/>
      <c r="X93" s="8">
        <f>U93+V93-W93</f>
        <v>802185</v>
      </c>
    </row>
    <row r="94" spans="1:24" x14ac:dyDescent="0.25">
      <c r="A94" s="103"/>
      <c r="B94" s="14">
        <v>48</v>
      </c>
      <c r="C94" s="11" t="s">
        <v>120</v>
      </c>
      <c r="D94" s="6" t="s">
        <v>27</v>
      </c>
      <c r="E94" s="5">
        <v>15400000</v>
      </c>
      <c r="F94" s="12">
        <v>30</v>
      </c>
      <c r="G94" s="5">
        <f t="shared" si="56"/>
        <v>15400000</v>
      </c>
      <c r="H94" s="5"/>
      <c r="I94" s="5">
        <v>600000</v>
      </c>
      <c r="J94" s="5"/>
      <c r="K94" s="5">
        <f t="shared" si="90"/>
        <v>16000000</v>
      </c>
      <c r="L94" s="5">
        <v>616000</v>
      </c>
      <c r="M94" s="5">
        <f>616000+308000</f>
        <v>924000</v>
      </c>
      <c r="N94" s="5">
        <v>102400</v>
      </c>
      <c r="O94" s="5"/>
      <c r="P94" s="5">
        <v>916000</v>
      </c>
      <c r="Q94" s="5">
        <v>5000000</v>
      </c>
      <c r="R94" s="5"/>
      <c r="S94" s="5">
        <v>2314715</v>
      </c>
      <c r="T94" s="5">
        <f t="shared" si="44"/>
        <v>9873115</v>
      </c>
      <c r="U94" s="7">
        <f>+K94-T94</f>
        <v>6126885</v>
      </c>
      <c r="V94" s="8"/>
      <c r="W94" s="9"/>
      <c r="X94" s="8">
        <f t="shared" si="62"/>
        <v>6126885</v>
      </c>
    </row>
    <row r="95" spans="1:24" x14ac:dyDescent="0.25">
      <c r="A95" s="103"/>
      <c r="B95" s="14">
        <v>49</v>
      </c>
      <c r="C95" s="11" t="s">
        <v>121</v>
      </c>
      <c r="D95" s="6" t="s">
        <v>27</v>
      </c>
      <c r="E95" s="5">
        <v>4500000</v>
      </c>
      <c r="F95" s="12">
        <v>30</v>
      </c>
      <c r="G95" s="5">
        <f>+E95-J95</f>
        <v>4500000</v>
      </c>
      <c r="H95" s="5"/>
      <c r="I95" s="5">
        <v>0</v>
      </c>
      <c r="J95" s="5">
        <v>0</v>
      </c>
      <c r="K95" s="5">
        <f t="shared" si="90"/>
        <v>4500000</v>
      </c>
      <c r="L95" s="5">
        <v>180000</v>
      </c>
      <c r="M95" s="5">
        <v>225000</v>
      </c>
      <c r="N95" s="5"/>
      <c r="O95" s="5"/>
      <c r="P95" s="5">
        <v>72000</v>
      </c>
      <c r="Q95" s="5"/>
      <c r="R95" s="5"/>
      <c r="S95" s="5">
        <v>1138458</v>
      </c>
      <c r="T95" s="5">
        <f t="shared" si="44"/>
        <v>1615458</v>
      </c>
      <c r="U95" s="7">
        <f>+K95-T95</f>
        <v>2884542</v>
      </c>
      <c r="V95" s="8"/>
      <c r="W95" s="9"/>
      <c r="X95" s="8">
        <f t="shared" si="62"/>
        <v>2884542</v>
      </c>
    </row>
    <row r="96" spans="1:24" ht="24" x14ac:dyDescent="0.25">
      <c r="A96" s="103"/>
      <c r="B96" s="14">
        <v>50</v>
      </c>
      <c r="C96" s="11" t="s">
        <v>159</v>
      </c>
      <c r="D96" s="6"/>
      <c r="E96" s="5">
        <v>1600000</v>
      </c>
      <c r="F96" s="12">
        <v>30</v>
      </c>
      <c r="G96" s="5">
        <f t="shared" si="56"/>
        <v>1600000</v>
      </c>
      <c r="H96" s="5"/>
      <c r="I96" s="5"/>
      <c r="J96" s="5"/>
      <c r="K96" s="5">
        <f t="shared" ref="K96" si="94">SUM(G96:I96)+J96</f>
        <v>1600000</v>
      </c>
      <c r="L96" s="5">
        <f t="shared" ref="L96" si="95">+G96*4%</f>
        <v>64000</v>
      </c>
      <c r="M96" s="5">
        <f>+G96*4%</f>
        <v>64000</v>
      </c>
      <c r="N96" s="5">
        <f>65000</f>
        <v>65000</v>
      </c>
      <c r="O96" s="5"/>
      <c r="P96" s="5"/>
      <c r="Q96" s="5"/>
      <c r="R96" s="5"/>
      <c r="S96" s="5"/>
      <c r="T96" s="5">
        <f t="shared" ref="T96" si="96">SUM(L96:S96)</f>
        <v>193000</v>
      </c>
      <c r="U96" s="7">
        <f>+K96-T96</f>
        <v>1407000</v>
      </c>
      <c r="V96" s="8"/>
      <c r="W96" s="9"/>
      <c r="X96" s="8">
        <f t="shared" si="62"/>
        <v>1407000</v>
      </c>
    </row>
    <row r="97" spans="1:24" x14ac:dyDescent="0.25">
      <c r="A97" s="103"/>
      <c r="B97" s="14">
        <v>51</v>
      </c>
      <c r="C97" s="11" t="s">
        <v>122</v>
      </c>
      <c r="D97" s="6" t="s">
        <v>27</v>
      </c>
      <c r="E97" s="5">
        <v>2500000</v>
      </c>
      <c r="F97" s="12">
        <v>30</v>
      </c>
      <c r="G97" s="5">
        <f>+E97-J97</f>
        <v>2500000</v>
      </c>
      <c r="H97" s="5"/>
      <c r="I97" s="5"/>
      <c r="J97" s="5">
        <v>0</v>
      </c>
      <c r="K97" s="5">
        <f t="shared" si="90"/>
        <v>2500000</v>
      </c>
      <c r="L97" s="5">
        <v>100000</v>
      </c>
      <c r="M97" s="5">
        <v>100000</v>
      </c>
      <c r="N97" s="5"/>
      <c r="O97" s="5"/>
      <c r="P97" s="5">
        <v>0</v>
      </c>
      <c r="Q97" s="5"/>
      <c r="R97" s="5"/>
      <c r="S97" s="5"/>
      <c r="T97" s="5">
        <f t="shared" si="44"/>
        <v>200000</v>
      </c>
      <c r="U97" s="7">
        <f>+K97-T97</f>
        <v>2300000</v>
      </c>
      <c r="V97" s="8"/>
      <c r="W97" s="9"/>
      <c r="X97" s="8">
        <f t="shared" si="62"/>
        <v>2300000</v>
      </c>
    </row>
    <row r="98" spans="1:24" x14ac:dyDescent="0.25">
      <c r="A98" s="103"/>
      <c r="B98" s="14">
        <v>52</v>
      </c>
      <c r="C98" s="3" t="s">
        <v>123</v>
      </c>
      <c r="D98" s="4" t="s">
        <v>27</v>
      </c>
      <c r="E98" s="5">
        <v>3000000</v>
      </c>
      <c r="F98" s="12">
        <v>30</v>
      </c>
      <c r="G98" s="5">
        <f>+E98-J98</f>
        <v>3000000</v>
      </c>
      <c r="H98" s="5"/>
      <c r="I98" s="5">
        <v>270000</v>
      </c>
      <c r="J98" s="5"/>
      <c r="K98" s="5">
        <f t="shared" si="90"/>
        <v>3270000</v>
      </c>
      <c r="L98" s="5">
        <v>120000</v>
      </c>
      <c r="M98" s="5">
        <v>150000</v>
      </c>
      <c r="N98" s="5"/>
      <c r="O98" s="5"/>
      <c r="P98" s="5">
        <v>0</v>
      </c>
      <c r="Q98" s="5"/>
      <c r="R98" s="5"/>
      <c r="S98" s="5">
        <v>514771</v>
      </c>
      <c r="T98" s="5">
        <f>SUM(L98:S98)</f>
        <v>784771</v>
      </c>
      <c r="U98" s="7">
        <f>K98-T98</f>
        <v>2485229</v>
      </c>
      <c r="V98" s="8"/>
      <c r="W98" s="9"/>
      <c r="X98" s="8">
        <f t="shared" si="62"/>
        <v>2485229</v>
      </c>
    </row>
    <row r="99" spans="1:24" x14ac:dyDescent="0.25">
      <c r="A99" s="103"/>
      <c r="B99" s="14">
        <v>53</v>
      </c>
      <c r="C99" s="3" t="s">
        <v>124</v>
      </c>
      <c r="D99" s="4" t="s">
        <v>27</v>
      </c>
      <c r="E99" s="5">
        <v>1600000</v>
      </c>
      <c r="F99" s="12">
        <v>30</v>
      </c>
      <c r="G99" s="5">
        <f t="shared" si="56"/>
        <v>1600000</v>
      </c>
      <c r="H99" s="5"/>
      <c r="I99" s="5">
        <v>200000</v>
      </c>
      <c r="J99" s="5"/>
      <c r="K99" s="5">
        <f>SUM(G99:I99)+J99</f>
        <v>1800000</v>
      </c>
      <c r="L99" s="5">
        <f>+G99*4%</f>
        <v>64000</v>
      </c>
      <c r="M99" s="5">
        <f>+G99*4%</f>
        <v>64000</v>
      </c>
      <c r="N99" s="5"/>
      <c r="O99" s="5"/>
      <c r="P99" s="5"/>
      <c r="Q99" s="5"/>
      <c r="R99" s="5"/>
      <c r="S99" s="5"/>
      <c r="T99" s="5">
        <f>SUM(L99:S99)</f>
        <v>128000</v>
      </c>
      <c r="U99" s="7">
        <f>K99-T99</f>
        <v>1672000</v>
      </c>
      <c r="V99" s="8"/>
      <c r="W99" s="9"/>
      <c r="X99" s="8">
        <f t="shared" si="62"/>
        <v>1672000</v>
      </c>
    </row>
    <row r="100" spans="1:24" ht="23.25" customHeight="1" x14ac:dyDescent="0.25">
      <c r="A100" s="103"/>
      <c r="B100" s="14">
        <v>54</v>
      </c>
      <c r="C100" s="11" t="s">
        <v>128</v>
      </c>
      <c r="D100" s="6" t="s">
        <v>27</v>
      </c>
      <c r="E100" s="5">
        <v>3750000</v>
      </c>
      <c r="F100" s="12">
        <v>30</v>
      </c>
      <c r="G100" s="5">
        <f t="shared" si="56"/>
        <v>3750000</v>
      </c>
      <c r="H100" s="5"/>
      <c r="I100" s="5"/>
      <c r="J100" s="5"/>
      <c r="K100" s="5">
        <f t="shared" si="90"/>
        <v>3750000</v>
      </c>
      <c r="L100" s="5">
        <f>+E100*4%</f>
        <v>150000</v>
      </c>
      <c r="M100" s="5">
        <f>+E100*5%</f>
        <v>187500</v>
      </c>
      <c r="N100" s="5"/>
      <c r="O100" s="5"/>
      <c r="P100" s="5"/>
      <c r="Q100" s="5"/>
      <c r="R100" s="5"/>
      <c r="S100" s="5"/>
      <c r="T100" s="5">
        <f t="shared" si="44"/>
        <v>337500</v>
      </c>
      <c r="U100" s="7">
        <f>+K100-T100</f>
        <v>3412500</v>
      </c>
      <c r="V100" s="8"/>
      <c r="W100" s="9"/>
      <c r="X100" s="8">
        <f t="shared" si="62"/>
        <v>3412500</v>
      </c>
    </row>
    <row r="101" spans="1:24" ht="24" x14ac:dyDescent="0.25">
      <c r="A101" s="103"/>
      <c r="B101" s="14">
        <v>55</v>
      </c>
      <c r="C101" s="11" t="s">
        <v>129</v>
      </c>
      <c r="D101" s="6" t="s">
        <v>27</v>
      </c>
      <c r="E101" s="5">
        <v>3700000</v>
      </c>
      <c r="F101" s="12">
        <v>30</v>
      </c>
      <c r="G101" s="5">
        <f t="shared" si="56"/>
        <v>3700000</v>
      </c>
      <c r="H101" s="5"/>
      <c r="I101" s="5">
        <v>650000</v>
      </c>
      <c r="J101" s="5"/>
      <c r="K101" s="5">
        <f t="shared" si="90"/>
        <v>4350000</v>
      </c>
      <c r="L101" s="5">
        <f t="shared" ref="L101" si="97">+G101*4%</f>
        <v>148000</v>
      </c>
      <c r="M101" s="5">
        <f>+G101*5%</f>
        <v>185000</v>
      </c>
      <c r="N101" s="5"/>
      <c r="O101" s="5"/>
      <c r="P101" s="5"/>
      <c r="Q101" s="5"/>
      <c r="R101" s="5"/>
      <c r="S101" s="5"/>
      <c r="T101" s="5">
        <f t="shared" ref="T101:T102" si="98">SUM(L101:S101)</f>
        <v>333000</v>
      </c>
      <c r="U101" s="7">
        <f>+K101-T101</f>
        <v>4017000</v>
      </c>
      <c r="V101" s="8"/>
      <c r="W101" s="9"/>
      <c r="X101" s="8">
        <f t="shared" si="62"/>
        <v>4017000</v>
      </c>
    </row>
    <row r="102" spans="1:24" ht="22.5" customHeight="1" x14ac:dyDescent="0.25">
      <c r="A102" s="103"/>
      <c r="B102" s="14">
        <v>56</v>
      </c>
      <c r="C102" s="11" t="s">
        <v>68</v>
      </c>
      <c r="D102" s="6" t="s">
        <v>27</v>
      </c>
      <c r="E102" s="5">
        <v>3500000</v>
      </c>
      <c r="F102" s="12">
        <v>30</v>
      </c>
      <c r="G102" s="5">
        <f>+E102-J102</f>
        <v>3500000</v>
      </c>
      <c r="H102" s="5"/>
      <c r="I102" s="5" t="s">
        <v>1</v>
      </c>
      <c r="J102" s="5"/>
      <c r="K102" s="5">
        <f t="shared" si="90"/>
        <v>3500000</v>
      </c>
      <c r="L102" s="5">
        <f>+K102*4%</f>
        <v>140000</v>
      </c>
      <c r="M102" s="5">
        <f>+K102*5%</f>
        <v>175000</v>
      </c>
      <c r="N102" s="5"/>
      <c r="O102" s="5"/>
      <c r="P102" s="5"/>
      <c r="Q102" s="5"/>
      <c r="R102" s="5"/>
      <c r="S102" s="5"/>
      <c r="T102" s="5">
        <f t="shared" si="98"/>
        <v>315000</v>
      </c>
      <c r="U102" s="7">
        <f t="shared" ref="U102" si="99">+K102-T102</f>
        <v>3185000</v>
      </c>
      <c r="V102" s="8"/>
      <c r="W102" s="9"/>
      <c r="X102" s="8">
        <f t="shared" si="62"/>
        <v>3185000</v>
      </c>
    </row>
    <row r="103" spans="1:24" x14ac:dyDescent="0.25">
      <c r="A103" s="103"/>
      <c r="B103" s="14">
        <v>57</v>
      </c>
      <c r="C103" s="11" t="s">
        <v>130</v>
      </c>
      <c r="D103" s="6" t="s">
        <v>35</v>
      </c>
      <c r="E103" s="5">
        <v>2000000</v>
      </c>
      <c r="F103" s="12">
        <v>29</v>
      </c>
      <c r="G103" s="5">
        <f t="shared" si="56"/>
        <v>1933333.3333333335</v>
      </c>
      <c r="H103" s="5">
        <v>44447</v>
      </c>
      <c r="I103" s="5"/>
      <c r="J103" s="5"/>
      <c r="K103" s="5">
        <f t="shared" si="90"/>
        <v>1977780.3333333335</v>
      </c>
      <c r="L103" s="5">
        <f>+E103*4%</f>
        <v>80000</v>
      </c>
      <c r="M103" s="5">
        <f>+E103*4%</f>
        <v>80000</v>
      </c>
      <c r="N103" s="5"/>
      <c r="O103" s="5"/>
      <c r="P103" s="17"/>
      <c r="Q103" s="5"/>
      <c r="R103" s="5"/>
      <c r="S103" s="5"/>
      <c r="T103" s="5">
        <f t="shared" si="44"/>
        <v>160000</v>
      </c>
      <c r="U103" s="7">
        <f>+K103-T103</f>
        <v>1817780.3333333335</v>
      </c>
      <c r="V103" s="8"/>
      <c r="W103" s="9"/>
      <c r="X103" s="8">
        <f t="shared" si="62"/>
        <v>1817780.3333333335</v>
      </c>
    </row>
    <row r="104" spans="1:24" x14ac:dyDescent="0.25">
      <c r="A104" s="103"/>
      <c r="B104" s="14">
        <v>58</v>
      </c>
      <c r="C104" s="11" t="s">
        <v>173</v>
      </c>
      <c r="D104" s="6"/>
      <c r="E104" s="5">
        <v>1500000</v>
      </c>
      <c r="F104" s="12">
        <v>30</v>
      </c>
      <c r="G104" s="5">
        <f t="shared" si="56"/>
        <v>1500000</v>
      </c>
      <c r="H104" s="5"/>
      <c r="I104" s="5"/>
      <c r="J104" s="5"/>
      <c r="K104" s="5">
        <f t="shared" ref="K104" si="100">SUM(G104:I104)+J104</f>
        <v>1500000</v>
      </c>
      <c r="L104" s="5">
        <f>+G104*4%</f>
        <v>60000</v>
      </c>
      <c r="M104" s="5">
        <f>+G104*4%</f>
        <v>60000</v>
      </c>
      <c r="N104" s="5">
        <v>0</v>
      </c>
      <c r="O104" s="5"/>
      <c r="P104" s="17"/>
      <c r="Q104" s="5"/>
      <c r="R104" s="5"/>
      <c r="S104" s="5"/>
      <c r="T104" s="5">
        <f t="shared" ref="T104" si="101">SUM(L104:S104)</f>
        <v>120000</v>
      </c>
      <c r="U104" s="7">
        <f>+K104-T104</f>
        <v>1380000</v>
      </c>
      <c r="V104" s="8"/>
      <c r="W104" s="9"/>
      <c r="X104" s="8">
        <f t="shared" si="62"/>
        <v>1380000</v>
      </c>
    </row>
    <row r="105" spans="1:24" x14ac:dyDescent="0.25">
      <c r="A105" s="103"/>
      <c r="B105" s="14">
        <v>59</v>
      </c>
      <c r="C105" s="3" t="s">
        <v>131</v>
      </c>
      <c r="D105" s="4" t="s">
        <v>27</v>
      </c>
      <c r="E105" s="5">
        <v>1600000</v>
      </c>
      <c r="F105" s="12">
        <v>30</v>
      </c>
      <c r="G105" s="5">
        <f t="shared" si="56"/>
        <v>1600000</v>
      </c>
      <c r="H105" s="5"/>
      <c r="I105" s="5"/>
      <c r="J105" s="5"/>
      <c r="K105" s="5">
        <f t="shared" si="90"/>
        <v>1600000</v>
      </c>
      <c r="L105" s="5">
        <f>+K105*4%</f>
        <v>64000</v>
      </c>
      <c r="M105" s="5">
        <v>64000</v>
      </c>
      <c r="N105" s="5">
        <v>190000</v>
      </c>
      <c r="O105" s="5">
        <v>250000</v>
      </c>
      <c r="P105" s="5">
        <v>0</v>
      </c>
      <c r="Q105" s="5"/>
      <c r="R105" s="5"/>
      <c r="S105" s="5">
        <v>249127</v>
      </c>
      <c r="T105" s="5">
        <f t="shared" si="44"/>
        <v>817127</v>
      </c>
      <c r="U105" s="7">
        <f>K105-T105</f>
        <v>782873</v>
      </c>
      <c r="V105" s="8"/>
      <c r="W105" s="9"/>
      <c r="X105" s="8">
        <f t="shared" si="62"/>
        <v>782873</v>
      </c>
    </row>
    <row r="106" spans="1:24" ht="23.25" customHeight="1" x14ac:dyDescent="0.25">
      <c r="A106" s="103"/>
      <c r="B106" s="14">
        <v>60</v>
      </c>
      <c r="C106" s="11" t="s">
        <v>132</v>
      </c>
      <c r="D106" s="6" t="s">
        <v>27</v>
      </c>
      <c r="E106" s="5">
        <v>1500000</v>
      </c>
      <c r="F106" s="12">
        <v>30</v>
      </c>
      <c r="G106" s="5">
        <f t="shared" si="56"/>
        <v>1500000</v>
      </c>
      <c r="H106" s="5">
        <v>0</v>
      </c>
      <c r="I106" s="5"/>
      <c r="J106" s="5"/>
      <c r="K106" s="5">
        <f t="shared" si="90"/>
        <v>1500000</v>
      </c>
      <c r="L106" s="5">
        <f>+G106*4%</f>
        <v>60000</v>
      </c>
      <c r="M106" s="5">
        <f>+G106*4%</f>
        <v>60000</v>
      </c>
      <c r="N106" s="5"/>
      <c r="O106" s="5"/>
      <c r="P106" s="5">
        <v>0</v>
      </c>
      <c r="Q106" s="5"/>
      <c r="R106" s="5"/>
      <c r="S106" s="5"/>
      <c r="T106" s="5">
        <f t="shared" si="44"/>
        <v>120000</v>
      </c>
      <c r="U106" s="7">
        <f t="shared" ref="U106:U110" si="102">+K106-T106</f>
        <v>1380000</v>
      </c>
      <c r="V106" s="8"/>
      <c r="W106" s="9"/>
      <c r="X106" s="8">
        <f t="shared" si="62"/>
        <v>1380000</v>
      </c>
    </row>
    <row r="107" spans="1:24" ht="24" x14ac:dyDescent="0.25">
      <c r="A107" s="103"/>
      <c r="B107" s="14">
        <v>61</v>
      </c>
      <c r="C107" s="11" t="s">
        <v>134</v>
      </c>
      <c r="D107" s="6" t="s">
        <v>27</v>
      </c>
      <c r="E107" s="5">
        <v>1800000</v>
      </c>
      <c r="F107" s="12">
        <v>30</v>
      </c>
      <c r="G107" s="5">
        <f t="shared" si="56"/>
        <v>1800000</v>
      </c>
      <c r="H107" s="5"/>
      <c r="I107" s="5"/>
      <c r="J107" s="21"/>
      <c r="K107" s="5">
        <f t="shared" ref="K107:K108" si="103">SUM(G107:I107)+J107</f>
        <v>1800000</v>
      </c>
      <c r="L107" s="5">
        <f t="shared" ref="L107" si="104">+G107*4%</f>
        <v>72000</v>
      </c>
      <c r="M107" s="5">
        <f t="shared" ref="M107" si="105">+G107*4%</f>
        <v>72000</v>
      </c>
      <c r="N107" s="5"/>
      <c r="O107" s="5"/>
      <c r="P107" s="5">
        <v>0</v>
      </c>
      <c r="Q107" s="5"/>
      <c r="R107" s="5"/>
      <c r="S107" s="5"/>
      <c r="T107" s="5">
        <f t="shared" ref="T107:T108" si="106">SUM(L107:S107)</f>
        <v>144000</v>
      </c>
      <c r="U107" s="7">
        <f t="shared" si="102"/>
        <v>1656000</v>
      </c>
      <c r="V107" s="8"/>
      <c r="W107" s="9"/>
      <c r="X107" s="8">
        <f t="shared" si="62"/>
        <v>1656000</v>
      </c>
    </row>
    <row r="108" spans="1:24" ht="18.75" customHeight="1" x14ac:dyDescent="0.25">
      <c r="A108" s="103"/>
      <c r="B108" s="14">
        <v>62</v>
      </c>
      <c r="C108" s="11" t="s">
        <v>179</v>
      </c>
      <c r="D108" s="6"/>
      <c r="E108" s="5">
        <v>737717</v>
      </c>
      <c r="F108" s="12">
        <v>29</v>
      </c>
      <c r="G108" s="5">
        <f t="shared" si="56"/>
        <v>713126.43333333335</v>
      </c>
      <c r="H108" s="5"/>
      <c r="I108" s="5"/>
      <c r="J108" s="21"/>
      <c r="K108" s="5">
        <f t="shared" si="103"/>
        <v>713126.43333333335</v>
      </c>
      <c r="L108" s="5"/>
      <c r="M108" s="5"/>
      <c r="N108" s="5"/>
      <c r="O108" s="5"/>
      <c r="P108" s="5"/>
      <c r="Q108" s="5"/>
      <c r="R108" s="5"/>
      <c r="S108" s="5"/>
      <c r="T108" s="5">
        <f t="shared" si="106"/>
        <v>0</v>
      </c>
      <c r="U108" s="7">
        <f t="shared" si="102"/>
        <v>713126.43333333335</v>
      </c>
      <c r="V108" s="8"/>
      <c r="W108" s="9"/>
      <c r="X108" s="8">
        <f t="shared" si="62"/>
        <v>713126.43333333335</v>
      </c>
    </row>
    <row r="109" spans="1:24" ht="18.75" customHeight="1" x14ac:dyDescent="0.25">
      <c r="A109" s="103"/>
      <c r="B109" s="14">
        <v>63</v>
      </c>
      <c r="C109" s="11" t="s">
        <v>135</v>
      </c>
      <c r="D109" s="6" t="s">
        <v>27</v>
      </c>
      <c r="E109" s="5">
        <v>2000000</v>
      </c>
      <c r="F109" s="12">
        <v>30</v>
      </c>
      <c r="G109" s="5">
        <f t="shared" si="56"/>
        <v>2000000.0000000002</v>
      </c>
      <c r="H109" s="5"/>
      <c r="I109" s="5"/>
      <c r="J109" s="5"/>
      <c r="K109" s="5">
        <f t="shared" si="90"/>
        <v>2000000.0000000002</v>
      </c>
      <c r="L109" s="5">
        <v>80000</v>
      </c>
      <c r="M109" s="5">
        <v>80000</v>
      </c>
      <c r="N109" s="5"/>
      <c r="O109" s="5"/>
      <c r="P109" s="5"/>
      <c r="Q109" s="5"/>
      <c r="R109" s="5"/>
      <c r="S109" s="5"/>
      <c r="T109" s="5">
        <f t="shared" si="44"/>
        <v>160000</v>
      </c>
      <c r="U109" s="7">
        <f t="shared" si="102"/>
        <v>1840000.0000000002</v>
      </c>
      <c r="V109" s="8"/>
      <c r="W109" s="9"/>
      <c r="X109" s="8">
        <f t="shared" si="62"/>
        <v>1840000.0000000002</v>
      </c>
    </row>
    <row r="110" spans="1:24" ht="23.25" customHeight="1" x14ac:dyDescent="0.25">
      <c r="A110" s="103"/>
      <c r="B110" s="14">
        <v>64</v>
      </c>
      <c r="C110" s="11" t="s">
        <v>137</v>
      </c>
      <c r="D110" s="6"/>
      <c r="E110" s="5">
        <v>1200000</v>
      </c>
      <c r="F110" s="12">
        <v>30</v>
      </c>
      <c r="G110" s="5">
        <f t="shared" si="56"/>
        <v>1200000</v>
      </c>
      <c r="H110" s="5">
        <f t="shared" ref="H110" si="107">+(83140/30)*F110</f>
        <v>83140</v>
      </c>
      <c r="I110" s="5"/>
      <c r="J110" s="22"/>
      <c r="K110" s="5">
        <f t="shared" ref="K110:K112" si="108">SUM(G110:I110)+J110</f>
        <v>1283140</v>
      </c>
      <c r="L110" s="5">
        <f t="shared" ref="L110" si="109">+G110*4%</f>
        <v>48000</v>
      </c>
      <c r="M110" s="5">
        <f t="shared" ref="M110" si="110">+G110*4%</f>
        <v>48000</v>
      </c>
      <c r="N110" s="5"/>
      <c r="O110" s="5"/>
      <c r="P110" s="5">
        <v>0</v>
      </c>
      <c r="Q110" s="5"/>
      <c r="R110" s="5"/>
      <c r="S110" s="5"/>
      <c r="T110" s="5">
        <f t="shared" ref="T110:T112" si="111">SUM(L110:S110)</f>
        <v>96000</v>
      </c>
      <c r="U110" s="7">
        <f t="shared" si="102"/>
        <v>1187140</v>
      </c>
      <c r="V110" s="8"/>
      <c r="W110" s="9"/>
      <c r="X110" s="8">
        <f t="shared" si="62"/>
        <v>1187140</v>
      </c>
    </row>
    <row r="111" spans="1:24" ht="18.75" customHeight="1" x14ac:dyDescent="0.25">
      <c r="A111" s="103"/>
      <c r="B111" s="14">
        <v>65</v>
      </c>
      <c r="C111" s="11" t="s">
        <v>160</v>
      </c>
      <c r="D111" s="6"/>
      <c r="E111" s="5">
        <v>368859</v>
      </c>
      <c r="F111" s="12">
        <v>23</v>
      </c>
      <c r="G111" s="5">
        <f>E111/30*F111</f>
        <v>282791.89999999997</v>
      </c>
      <c r="H111" s="5">
        <v>172133</v>
      </c>
      <c r="I111" s="5"/>
      <c r="J111" s="22"/>
      <c r="K111" s="5">
        <f t="shared" si="108"/>
        <v>454924.89999999997</v>
      </c>
      <c r="L111" s="5"/>
      <c r="M111" s="5"/>
      <c r="N111" s="5"/>
      <c r="O111" s="5"/>
      <c r="P111" s="5"/>
      <c r="Q111" s="5"/>
      <c r="R111" s="5"/>
      <c r="S111" s="5"/>
      <c r="T111" s="5">
        <f t="shared" si="111"/>
        <v>0</v>
      </c>
      <c r="U111" s="7">
        <f>+K111-T111</f>
        <v>454924.89999999997</v>
      </c>
      <c r="V111" s="8"/>
      <c r="W111" s="9"/>
      <c r="X111" s="8">
        <f t="shared" si="62"/>
        <v>454924.89999999997</v>
      </c>
    </row>
    <row r="112" spans="1:24" ht="23.25" customHeight="1" x14ac:dyDescent="0.25">
      <c r="A112" s="75"/>
      <c r="B112" s="14">
        <v>66</v>
      </c>
      <c r="C112" s="11" t="s">
        <v>186</v>
      </c>
      <c r="D112" s="6"/>
      <c r="E112" s="5">
        <v>1200000</v>
      </c>
      <c r="F112" s="12">
        <v>30</v>
      </c>
      <c r="G112" s="5">
        <f t="shared" ref="G112" si="112">E112/30*F112</f>
        <v>1200000</v>
      </c>
      <c r="H112" s="5">
        <f t="shared" ref="H112" si="113">+(83140/30)*F112</f>
        <v>83140</v>
      </c>
      <c r="I112" s="5"/>
      <c r="J112" s="22"/>
      <c r="K112" s="5">
        <f t="shared" si="108"/>
        <v>1283140</v>
      </c>
      <c r="L112" s="5">
        <f>+G112*4%</f>
        <v>48000</v>
      </c>
      <c r="M112" s="5">
        <f t="shared" ref="M112" si="114">+G112*4%</f>
        <v>48000</v>
      </c>
      <c r="N112" s="5"/>
      <c r="O112" s="5"/>
      <c r="P112" s="5">
        <v>0</v>
      </c>
      <c r="Q112" s="5"/>
      <c r="R112" s="5"/>
      <c r="S112" s="5"/>
      <c r="T112" s="5">
        <f t="shared" si="111"/>
        <v>96000</v>
      </c>
      <c r="U112" s="7">
        <f t="shared" ref="U112" si="115">+K112-T112</f>
        <v>1187140</v>
      </c>
      <c r="V112" s="8"/>
      <c r="W112" s="9"/>
      <c r="X112" s="8">
        <f t="shared" si="62"/>
        <v>1187140</v>
      </c>
    </row>
    <row r="113" spans="1:28" x14ac:dyDescent="0.25">
      <c r="A113" s="13"/>
      <c r="B113" s="13"/>
      <c r="C113" s="23" t="s">
        <v>140</v>
      </c>
      <c r="D113" s="13"/>
      <c r="E113" s="18">
        <f>SUM(E4:E112)</f>
        <v>376133822</v>
      </c>
      <c r="F113" s="18" t="s">
        <v>1</v>
      </c>
      <c r="G113" s="8">
        <f>SUM(G4:G112)</f>
        <v>366008753</v>
      </c>
      <c r="H113" s="8">
        <f t="shared" ref="H113:X113" si="116">SUM(H4:H112)</f>
        <v>1926232</v>
      </c>
      <c r="I113" s="8">
        <f t="shared" si="116"/>
        <v>13081321</v>
      </c>
      <c r="J113" s="8">
        <f t="shared" si="116"/>
        <v>3604448</v>
      </c>
      <c r="K113" s="8">
        <f t="shared" si="116"/>
        <v>384620753.99999994</v>
      </c>
      <c r="L113" s="8">
        <f t="shared" si="116"/>
        <v>14729760.813333333</v>
      </c>
      <c r="M113" s="8">
        <f t="shared" si="116"/>
        <v>17893204.50333333</v>
      </c>
      <c r="N113" s="8">
        <f t="shared" si="116"/>
        <v>2312694</v>
      </c>
      <c r="O113" s="8">
        <f t="shared" si="116"/>
        <v>250000</v>
      </c>
      <c r="P113" s="8">
        <f>SUM(P4:P112)</f>
        <v>4208943</v>
      </c>
      <c r="Q113" s="8">
        <f t="shared" si="116"/>
        <v>10665000</v>
      </c>
      <c r="R113" s="8">
        <f t="shared" si="116"/>
        <v>344614</v>
      </c>
      <c r="S113" s="8">
        <f t="shared" si="116"/>
        <v>16441379</v>
      </c>
      <c r="T113" s="8">
        <f t="shared" si="116"/>
        <v>66845597.876666665</v>
      </c>
      <c r="U113" s="8">
        <f t="shared" si="116"/>
        <v>317775156.12333328</v>
      </c>
      <c r="V113" s="8">
        <f t="shared" si="116"/>
        <v>0</v>
      </c>
      <c r="W113" s="8">
        <f t="shared" si="116"/>
        <v>0</v>
      </c>
      <c r="X113" s="8">
        <f t="shared" si="116"/>
        <v>317775156.12333328</v>
      </c>
    </row>
    <row r="114" spans="1:28" x14ac:dyDescent="0.25">
      <c r="E114" s="26"/>
      <c r="F114" s="26"/>
      <c r="G114" s="26"/>
      <c r="U114" s="20"/>
      <c r="V114" s="20"/>
      <c r="X114" s="20"/>
    </row>
    <row r="115" spans="1:28" x14ac:dyDescent="0.25">
      <c r="D115" s="25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9"/>
      <c r="V115" s="25"/>
      <c r="W115" s="30"/>
      <c r="X115" s="29"/>
    </row>
    <row r="116" spans="1:28" x14ac:dyDescent="0.25">
      <c r="D116" s="25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5"/>
      <c r="V116" s="25"/>
      <c r="W116" s="30"/>
      <c r="X116" s="29"/>
    </row>
    <row r="117" spans="1:28" x14ac:dyDescent="0.25">
      <c r="C117" s="31"/>
      <c r="D117" s="25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5"/>
      <c r="V117" s="25"/>
      <c r="W117" s="30"/>
      <c r="X117" s="29"/>
    </row>
    <row r="118" spans="1:28" x14ac:dyDescent="0.25">
      <c r="C118" s="31"/>
      <c r="D118" s="25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5"/>
      <c r="V118" s="25"/>
      <c r="W118" s="30"/>
      <c r="X118" s="25"/>
      <c r="Y118" s="25"/>
      <c r="Z118" s="25"/>
      <c r="AA118" s="25"/>
      <c r="AB118" s="25"/>
    </row>
    <row r="119" spans="1:28" x14ac:dyDescent="0.25">
      <c r="B119" s="25"/>
      <c r="C119" s="31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26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25"/>
      <c r="Z119" s="25"/>
      <c r="AA119" s="25"/>
      <c r="AB119" s="25"/>
    </row>
    <row r="120" spans="1:28" x14ac:dyDescent="0.25">
      <c r="B120" s="25"/>
      <c r="C120" s="31"/>
      <c r="D120" s="25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5"/>
      <c r="V120" s="25"/>
      <c r="W120" s="30"/>
      <c r="X120" s="25"/>
      <c r="Y120" s="25"/>
      <c r="Z120" s="25"/>
      <c r="AA120" s="25"/>
      <c r="AB120" s="25"/>
    </row>
    <row r="121" spans="1:28" x14ac:dyDescent="0.25">
      <c r="B121" s="25"/>
      <c r="C121" s="31"/>
      <c r="D121" s="25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5"/>
      <c r="V121" s="25"/>
      <c r="W121" s="30"/>
      <c r="X121" s="25"/>
      <c r="Y121" s="25"/>
      <c r="Z121" s="25"/>
      <c r="AA121" s="25"/>
      <c r="AB121" s="25"/>
    </row>
    <row r="122" spans="1:28" x14ac:dyDescent="0.25">
      <c r="B122" s="25"/>
      <c r="C122" s="31"/>
      <c r="D122" s="25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5"/>
      <c r="V122" s="25"/>
      <c r="W122" s="30"/>
      <c r="X122" s="25"/>
      <c r="Y122" s="25"/>
      <c r="Z122" s="25"/>
      <c r="AA122" s="25"/>
      <c r="AB122" s="25"/>
    </row>
    <row r="123" spans="1:28" x14ac:dyDescent="0.25">
      <c r="B123" s="25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4"/>
      <c r="W123" s="35"/>
      <c r="X123" s="34"/>
      <c r="Y123" s="25"/>
      <c r="Z123" s="25"/>
      <c r="AA123" s="25"/>
      <c r="AB123" s="25"/>
    </row>
    <row r="124" spans="1:28" x14ac:dyDescent="0.25">
      <c r="B124" s="36"/>
      <c r="C124" s="31"/>
      <c r="D124" s="34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4"/>
      <c r="V124" s="34"/>
      <c r="W124" s="35"/>
      <c r="X124" s="34"/>
      <c r="Y124" s="25"/>
      <c r="Z124" s="25"/>
      <c r="AA124" s="25"/>
      <c r="AB124" s="25"/>
    </row>
    <row r="125" spans="1:28" x14ac:dyDescent="0.25">
      <c r="B125" s="25"/>
      <c r="C125" s="31"/>
      <c r="D125" s="25"/>
      <c r="E125" s="26"/>
      <c r="F125" s="26"/>
      <c r="G125" s="38"/>
      <c r="H125" s="26"/>
      <c r="I125" s="26"/>
      <c r="J125" s="26"/>
      <c r="K125" s="26"/>
      <c r="L125" s="26"/>
      <c r="M125" s="26"/>
      <c r="N125" s="39"/>
      <c r="O125" s="39"/>
      <c r="P125" s="39"/>
      <c r="Q125" s="39"/>
      <c r="R125" s="39"/>
      <c r="S125" s="26"/>
      <c r="T125" s="26"/>
      <c r="U125" s="25"/>
      <c r="V125" s="25"/>
      <c r="W125" s="30"/>
      <c r="X125" s="25"/>
      <c r="Y125" s="25"/>
      <c r="Z125" s="25"/>
      <c r="AA125" s="25"/>
      <c r="AB125" s="25"/>
    </row>
    <row r="126" spans="1:28" x14ac:dyDescent="0.25">
      <c r="B126" s="25"/>
      <c r="C126" s="40"/>
      <c r="D126" s="34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4"/>
      <c r="V126" s="34"/>
      <c r="W126" s="35"/>
      <c r="X126" s="34"/>
      <c r="Y126" s="25"/>
      <c r="Z126" s="25"/>
      <c r="AA126" s="25"/>
      <c r="AB126" s="25"/>
    </row>
    <row r="127" spans="1:28" x14ac:dyDescent="0.25">
      <c r="B127" s="34"/>
      <c r="C127" s="40"/>
      <c r="D127" s="34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4"/>
      <c r="V127" s="34"/>
      <c r="W127" s="35"/>
      <c r="X127" s="34"/>
      <c r="Y127" s="25"/>
      <c r="Z127" s="25"/>
      <c r="AA127" s="25"/>
      <c r="AB127" s="25"/>
    </row>
    <row r="128" spans="1:28" x14ac:dyDescent="0.25">
      <c r="B128" s="25"/>
      <c r="C128" s="40"/>
      <c r="D128" s="34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9"/>
      <c r="V128" s="29"/>
      <c r="W128" s="30"/>
      <c r="X128" s="29"/>
      <c r="Y128" s="25"/>
      <c r="Z128" s="25"/>
      <c r="AA128" s="25"/>
      <c r="AB128" s="25"/>
    </row>
    <row r="129" spans="3:28" x14ac:dyDescent="0.25">
      <c r="C129" s="40"/>
      <c r="D129" s="34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9"/>
      <c r="V129" s="29"/>
      <c r="W129" s="30"/>
      <c r="X129" s="29"/>
      <c r="Y129" s="25"/>
      <c r="Z129" s="25"/>
      <c r="AA129" s="25"/>
      <c r="AB129" s="25"/>
    </row>
    <row r="130" spans="3:28" x14ac:dyDescent="0.25">
      <c r="C130" s="40"/>
      <c r="D130" s="34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9"/>
      <c r="V130" s="29"/>
      <c r="W130" s="30"/>
      <c r="X130" s="29"/>
      <c r="Y130" s="25"/>
      <c r="Z130" s="25"/>
      <c r="AA130" s="25"/>
      <c r="AB130" s="25"/>
    </row>
    <row r="131" spans="3:28" x14ac:dyDescent="0.25">
      <c r="C131" s="40"/>
      <c r="D131" s="34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9"/>
      <c r="V131" s="29"/>
      <c r="W131" s="30"/>
      <c r="X131" s="29"/>
      <c r="Y131" s="25"/>
      <c r="Z131" s="25"/>
      <c r="AA131" s="25"/>
      <c r="AB131" s="25"/>
    </row>
    <row r="132" spans="3:28" x14ac:dyDescent="0.25">
      <c r="C132" s="40"/>
      <c r="D132" s="34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9"/>
      <c r="V132" s="29"/>
      <c r="W132" s="30"/>
      <c r="X132" s="29"/>
      <c r="Y132" s="25"/>
      <c r="Z132" s="25"/>
      <c r="AA132" s="25"/>
      <c r="AB132" s="25"/>
    </row>
    <row r="133" spans="3:28" x14ac:dyDescent="0.25">
      <c r="C133" s="40"/>
      <c r="D133" s="34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9"/>
      <c r="V133" s="29"/>
      <c r="W133" s="30"/>
      <c r="X133" s="29"/>
      <c r="Y133" s="25"/>
      <c r="Z133" s="25"/>
      <c r="AA133" s="25"/>
      <c r="AB133" s="25"/>
    </row>
    <row r="134" spans="3:28" x14ac:dyDescent="0.25">
      <c r="C134" s="31"/>
      <c r="D134" s="25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9"/>
      <c r="V134" s="29"/>
      <c r="W134" s="30"/>
      <c r="X134" s="29"/>
      <c r="Y134" s="25"/>
      <c r="Z134" s="25"/>
      <c r="AA134" s="25"/>
      <c r="AB134" s="25"/>
    </row>
    <row r="135" spans="3:28" x14ac:dyDescent="0.25">
      <c r="C135" s="40"/>
      <c r="D135" s="25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9"/>
      <c r="V135" s="29"/>
      <c r="W135" s="30"/>
      <c r="X135" s="29"/>
      <c r="Y135" s="25"/>
      <c r="Z135" s="25"/>
      <c r="AA135" s="25"/>
      <c r="AB135" s="25"/>
    </row>
    <row r="136" spans="3:28" x14ac:dyDescent="0.25">
      <c r="C136" s="40"/>
      <c r="D136" s="25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9"/>
      <c r="V136" s="29"/>
      <c r="W136" s="30"/>
      <c r="X136" s="29"/>
      <c r="Y136" s="25"/>
      <c r="Z136" s="25"/>
      <c r="AA136" s="25"/>
      <c r="AB136" s="25"/>
    </row>
    <row r="137" spans="3:28" x14ac:dyDescent="0.25">
      <c r="C137" s="40"/>
      <c r="D137" s="25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9"/>
      <c r="V137" s="29"/>
      <c r="W137" s="30"/>
      <c r="X137" s="29"/>
      <c r="Y137" s="25"/>
      <c r="Z137" s="25"/>
      <c r="AA137" s="25"/>
      <c r="AB137" s="25"/>
    </row>
    <row r="138" spans="3:28" x14ac:dyDescent="0.25">
      <c r="C138" s="40"/>
      <c r="D138" s="25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9"/>
      <c r="V138" s="29"/>
      <c r="W138" s="30"/>
      <c r="X138" s="29"/>
      <c r="Y138" s="25"/>
      <c r="Z138" s="25"/>
      <c r="AA138" s="25"/>
      <c r="AB138" s="25"/>
    </row>
    <row r="139" spans="3:28" x14ac:dyDescent="0.25">
      <c r="C139" s="40"/>
      <c r="D139" s="25"/>
      <c r="E139" s="26"/>
      <c r="F139" s="26"/>
      <c r="G139" s="26"/>
      <c r="H139" s="26"/>
      <c r="I139" s="26"/>
      <c r="J139" s="26"/>
      <c r="K139" s="26">
        <f>737717*4</f>
        <v>2950868</v>
      </c>
      <c r="L139" s="26">
        <f>737717*2</f>
        <v>1475434</v>
      </c>
      <c r="M139" s="26"/>
      <c r="N139" s="26"/>
      <c r="O139" s="26"/>
      <c r="P139" s="26"/>
      <c r="Q139" s="26"/>
      <c r="R139" s="26"/>
      <c r="S139" s="26"/>
      <c r="T139" s="26"/>
      <c r="U139" s="29"/>
      <c r="V139" s="29"/>
      <c r="W139" s="30"/>
      <c r="X139" s="29"/>
      <c r="Y139" s="25"/>
      <c r="Z139" s="25"/>
      <c r="AA139" s="25"/>
      <c r="AB139" s="25"/>
    </row>
    <row r="140" spans="3:28" x14ac:dyDescent="0.25">
      <c r="C140" s="40"/>
      <c r="D140" s="25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9"/>
      <c r="V140" s="29"/>
      <c r="W140" s="30"/>
      <c r="X140" s="29"/>
      <c r="Y140" s="25"/>
      <c r="Z140" s="25"/>
      <c r="AA140" s="25"/>
      <c r="AB140" s="25"/>
    </row>
    <row r="141" spans="3:28" x14ac:dyDescent="0.25">
      <c r="C141" s="40"/>
      <c r="D141" s="2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9"/>
      <c r="V141" s="29"/>
      <c r="W141" s="30"/>
      <c r="X141" s="29"/>
      <c r="Y141" s="25"/>
      <c r="Z141" s="25"/>
      <c r="AA141" s="25"/>
      <c r="AB141" s="25"/>
    </row>
    <row r="142" spans="3:28" x14ac:dyDescent="0.25">
      <c r="C142" s="40"/>
      <c r="D142" s="2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9"/>
      <c r="V142" s="29"/>
      <c r="W142" s="30"/>
      <c r="X142" s="29"/>
      <c r="Y142" s="25"/>
      <c r="Z142" s="25"/>
      <c r="AA142" s="25"/>
      <c r="AB142" s="25"/>
    </row>
    <row r="143" spans="3:28" x14ac:dyDescent="0.25">
      <c r="C143" s="40"/>
      <c r="D143" s="2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9"/>
      <c r="V143" s="29"/>
      <c r="W143" s="30"/>
      <c r="X143" s="29"/>
      <c r="Y143" s="25"/>
      <c r="Z143" s="25"/>
      <c r="AA143" s="25"/>
      <c r="AB143" s="25"/>
    </row>
    <row r="144" spans="3:28" x14ac:dyDescent="0.25">
      <c r="C144" s="40"/>
      <c r="D144" s="25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9"/>
      <c r="V144" s="29"/>
      <c r="W144" s="30"/>
      <c r="X144" s="29"/>
      <c r="Y144" s="25"/>
      <c r="Z144" s="25"/>
      <c r="AA144" s="25"/>
      <c r="AB144" s="25"/>
    </row>
    <row r="145" spans="2:28" x14ac:dyDescent="0.25">
      <c r="C145" s="40"/>
      <c r="D145" s="25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9"/>
      <c r="V145" s="29"/>
      <c r="W145" s="30"/>
      <c r="X145" s="29"/>
      <c r="Y145" s="25"/>
      <c r="Z145" s="25"/>
      <c r="AA145" s="25"/>
      <c r="AB145" s="25"/>
    </row>
    <row r="146" spans="2:28" x14ac:dyDescent="0.25">
      <c r="C146" s="31"/>
      <c r="D146" s="25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5"/>
      <c r="V146" s="25"/>
      <c r="W146" s="30"/>
      <c r="X146" s="25"/>
      <c r="Y146" s="25"/>
      <c r="Z146" s="25"/>
      <c r="AA146" s="25"/>
      <c r="AB146" s="25"/>
    </row>
    <row r="147" spans="2:28" x14ac:dyDescent="0.25">
      <c r="C147" s="31"/>
      <c r="D147" s="2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25"/>
      <c r="S147" s="26"/>
      <c r="T147" s="26"/>
      <c r="U147" s="25"/>
      <c r="V147" s="25"/>
      <c r="W147" s="30"/>
      <c r="X147" s="25"/>
      <c r="Y147" s="25"/>
      <c r="Z147" s="25"/>
      <c r="AA147" s="25"/>
      <c r="AB147" s="25"/>
    </row>
    <row r="148" spans="2:28" x14ac:dyDescent="0.25">
      <c r="B148" s="25"/>
      <c r="C148" s="31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25"/>
      <c r="Z148" s="25"/>
      <c r="AA148" s="25"/>
      <c r="AB148" s="25"/>
    </row>
    <row r="149" spans="2:28" x14ac:dyDescent="0.25">
      <c r="B149" s="25"/>
      <c r="C149" s="31"/>
      <c r="D149" s="25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4"/>
      <c r="V149" s="34"/>
      <c r="W149" s="35"/>
      <c r="X149" s="34"/>
      <c r="Y149" s="25"/>
      <c r="Z149" s="25"/>
      <c r="AA149" s="25"/>
      <c r="AB149" s="25"/>
    </row>
    <row r="150" spans="2:28" x14ac:dyDescent="0.25">
      <c r="B150" s="25"/>
      <c r="C150" s="40"/>
      <c r="D150" s="34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4"/>
      <c r="V150" s="34"/>
      <c r="W150" s="35"/>
      <c r="X150" s="34"/>
    </row>
    <row r="151" spans="2:28" x14ac:dyDescent="0.25">
      <c r="B151" s="41"/>
      <c r="C151" s="40"/>
      <c r="D151" s="34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4"/>
      <c r="V151" s="34"/>
      <c r="W151" s="35"/>
      <c r="X151" s="34"/>
    </row>
    <row r="152" spans="2:28" x14ac:dyDescent="0.25">
      <c r="C152" s="40"/>
      <c r="D152" s="34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9"/>
      <c r="V152" s="29"/>
      <c r="W152" s="30"/>
      <c r="X152" s="29"/>
    </row>
    <row r="153" spans="2:28" x14ac:dyDescent="0.25">
      <c r="C153" s="40"/>
      <c r="D153" s="34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9"/>
      <c r="V153" s="29"/>
      <c r="W153" s="30"/>
      <c r="X153" s="29"/>
    </row>
    <row r="154" spans="2:28" x14ac:dyDescent="0.25">
      <c r="C154" s="40"/>
      <c r="D154" s="34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9"/>
      <c r="V154" s="29"/>
      <c r="W154" s="30"/>
      <c r="X154" s="29"/>
    </row>
    <row r="155" spans="2:28" x14ac:dyDescent="0.25">
      <c r="C155" s="31"/>
      <c r="D155" s="25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9"/>
      <c r="V155" s="29"/>
      <c r="W155" s="30"/>
      <c r="X155" s="29"/>
    </row>
    <row r="156" spans="2:28" x14ac:dyDescent="0.25">
      <c r="C156" s="40"/>
      <c r="D156" s="25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9"/>
      <c r="V156" s="29"/>
      <c r="W156" s="30"/>
      <c r="X156" s="29"/>
    </row>
    <row r="157" spans="2:28" x14ac:dyDescent="0.25">
      <c r="C157" s="31"/>
      <c r="D157" s="25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5"/>
      <c r="V157" s="25"/>
      <c r="W157" s="30"/>
      <c r="X157" s="25"/>
    </row>
    <row r="158" spans="2:28" x14ac:dyDescent="0.25">
      <c r="C158" s="31"/>
      <c r="D158" s="25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9"/>
      <c r="V158" s="29"/>
      <c r="W158" s="30"/>
      <c r="X158" s="29"/>
    </row>
    <row r="159" spans="2:28" x14ac:dyDescent="0.25">
      <c r="B159" s="25"/>
      <c r="C159" s="31"/>
      <c r="D159" s="25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5"/>
      <c r="V159" s="25"/>
      <c r="W159" s="30"/>
      <c r="X159" s="25"/>
    </row>
    <row r="160" spans="2:28" x14ac:dyDescent="0.25">
      <c r="B160" s="25"/>
      <c r="C160" s="31"/>
      <c r="D160" s="25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5"/>
      <c r="V160" s="25"/>
      <c r="W160" s="30"/>
      <c r="X160" s="25"/>
    </row>
    <row r="161" spans="2:24" x14ac:dyDescent="0.25">
      <c r="B161" s="25"/>
      <c r="C161" s="31"/>
      <c r="D161" s="25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42"/>
      <c r="V161" s="42"/>
      <c r="W161" s="30"/>
      <c r="X161" s="42"/>
    </row>
    <row r="162" spans="2:24" x14ac:dyDescent="0.25">
      <c r="B162" s="25"/>
      <c r="C162" s="31"/>
      <c r="D162" s="25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43"/>
      <c r="V162" s="43"/>
      <c r="W162" s="30"/>
      <c r="X162" s="43"/>
    </row>
    <row r="163" spans="2:24" x14ac:dyDescent="0.25">
      <c r="C163" s="31"/>
      <c r="D163" s="25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5"/>
      <c r="V163" s="25"/>
      <c r="W163" s="30"/>
      <c r="X163" s="25"/>
    </row>
    <row r="164" spans="2:24" x14ac:dyDescent="0.25">
      <c r="C164" s="31"/>
      <c r="D164" s="25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5"/>
      <c r="V164" s="25"/>
      <c r="W164" s="30"/>
      <c r="X164" s="25"/>
    </row>
    <row r="165" spans="2:24" x14ac:dyDescent="0.25">
      <c r="C165" s="31"/>
      <c r="D165" s="25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5"/>
      <c r="V165" s="25"/>
      <c r="W165" s="30"/>
      <c r="X165" s="25"/>
    </row>
    <row r="166" spans="2:24" x14ac:dyDescent="0.25">
      <c r="C166" s="31"/>
      <c r="D166" s="25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5"/>
      <c r="V166" s="25"/>
      <c r="W166" s="30"/>
      <c r="X166" s="25"/>
    </row>
    <row r="167" spans="2:24" x14ac:dyDescent="0.25">
      <c r="C167" s="31"/>
      <c r="D167" s="25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5"/>
      <c r="V167" s="25"/>
      <c r="W167" s="30"/>
      <c r="X167" s="25"/>
    </row>
    <row r="168" spans="2:24" x14ac:dyDescent="0.25">
      <c r="C168" s="31"/>
      <c r="D168" s="25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5"/>
      <c r="V168" s="25"/>
      <c r="W168" s="30"/>
      <c r="X168" s="25"/>
    </row>
    <row r="169" spans="2:24" x14ac:dyDescent="0.25">
      <c r="C169" s="31"/>
      <c r="D169" s="25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5"/>
      <c r="V169" s="25"/>
      <c r="W169" s="30"/>
      <c r="X169" s="25"/>
    </row>
    <row r="170" spans="2:24" x14ac:dyDescent="0.25">
      <c r="C170" s="31"/>
      <c r="D170" s="25"/>
      <c r="E170" s="26"/>
      <c r="F170" s="26"/>
      <c r="G170" s="26"/>
      <c r="H170" s="26"/>
      <c r="I170" s="26"/>
      <c r="J170" s="26"/>
      <c r="K170" s="26"/>
      <c r="L170" s="26">
        <v>3003000</v>
      </c>
      <c r="M170" s="26"/>
      <c r="N170" s="26"/>
      <c r="O170" s="26"/>
      <c r="P170" s="26"/>
      <c r="Q170" s="26"/>
      <c r="R170" s="26"/>
      <c r="S170" s="26"/>
      <c r="T170" s="26"/>
      <c r="U170" s="25"/>
      <c r="V170" s="25"/>
      <c r="W170" s="30"/>
      <c r="X170" s="25"/>
    </row>
    <row r="171" spans="2:24" x14ac:dyDescent="0.25">
      <c r="C171" s="40"/>
      <c r="D171" s="25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5"/>
      <c r="V171" s="25"/>
      <c r="W171" s="30"/>
      <c r="X171" s="25"/>
    </row>
    <row r="172" spans="2:24" x14ac:dyDescent="0.25">
      <c r="C172" s="40"/>
      <c r="D172" s="25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5"/>
      <c r="V172" s="25"/>
      <c r="W172" s="30"/>
      <c r="X172" s="25"/>
    </row>
    <row r="173" spans="2:24" x14ac:dyDescent="0.25">
      <c r="C173" s="40"/>
      <c r="D173" s="25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5"/>
      <c r="V173" s="25"/>
      <c r="W173" s="30"/>
      <c r="X173" s="25"/>
    </row>
    <row r="174" spans="2:24" x14ac:dyDescent="0.25">
      <c r="C174" s="40"/>
      <c r="D174" s="25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5"/>
      <c r="V174" s="25"/>
      <c r="W174" s="30"/>
      <c r="X174" s="25"/>
    </row>
    <row r="175" spans="2:24" x14ac:dyDescent="0.25">
      <c r="C175" s="31">
        <v>42614840</v>
      </c>
      <c r="D175" s="25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>
        <v>412608</v>
      </c>
      <c r="U175" s="25"/>
      <c r="V175" s="25"/>
      <c r="W175" s="30"/>
      <c r="X175" s="25"/>
    </row>
    <row r="176" spans="2:24" x14ac:dyDescent="0.25">
      <c r="C176" s="31">
        <v>9675182</v>
      </c>
      <c r="D176" s="25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>
        <v>1880000</v>
      </c>
      <c r="U176" s="25"/>
      <c r="V176" s="25"/>
      <c r="W176" s="30"/>
      <c r="X176" s="25"/>
    </row>
    <row r="177" spans="3:24" x14ac:dyDescent="0.25">
      <c r="C177" s="31">
        <v>17903600</v>
      </c>
      <c r="D177" s="25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5"/>
      <c r="V177" s="25"/>
      <c r="W177" s="30"/>
      <c r="X177" s="25"/>
    </row>
    <row r="178" spans="3:24" x14ac:dyDescent="0.25">
      <c r="C178" s="31">
        <f>SUM(C175:C177)</f>
        <v>70193622</v>
      </c>
      <c r="D178" s="25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5"/>
      <c r="V178" s="25"/>
      <c r="W178" s="30"/>
      <c r="X178" s="25"/>
    </row>
    <row r="179" spans="3:24" x14ac:dyDescent="0.25">
      <c r="C179" s="31">
        <v>400000</v>
      </c>
      <c r="D179" s="25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5"/>
      <c r="V179" s="25"/>
      <c r="W179" s="30"/>
      <c r="X179" s="25"/>
    </row>
    <row r="180" spans="3:24" x14ac:dyDescent="0.25">
      <c r="C180" s="31">
        <f>+C178+C179</f>
        <v>70593622</v>
      </c>
      <c r="D180" s="25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5"/>
      <c r="V180" s="25"/>
      <c r="W180" s="30"/>
      <c r="X180" s="25"/>
    </row>
    <row r="184" spans="3:24" x14ac:dyDescent="0.25">
      <c r="C184" s="24">
        <v>11000000</v>
      </c>
    </row>
    <row r="185" spans="3:24" x14ac:dyDescent="0.25">
      <c r="C185" s="24">
        <f>+C183+C184</f>
        <v>11000000</v>
      </c>
    </row>
    <row r="190" spans="3:24" x14ac:dyDescent="0.25">
      <c r="C190" s="24">
        <v>3185000</v>
      </c>
    </row>
    <row r="191" spans="3:24" x14ac:dyDescent="0.25">
      <c r="C191" s="24">
        <v>1080000</v>
      </c>
    </row>
    <row r="192" spans="3:24" x14ac:dyDescent="0.25">
      <c r="C192" s="24">
        <v>4850100</v>
      </c>
    </row>
    <row r="193" spans="3:3" x14ac:dyDescent="0.25">
      <c r="C193" s="24">
        <v>5027500</v>
      </c>
    </row>
    <row r="194" spans="3:3" x14ac:dyDescent="0.25">
      <c r="C194" s="24">
        <v>4566000</v>
      </c>
    </row>
    <row r="195" spans="3:3" x14ac:dyDescent="0.25">
      <c r="C195" s="24">
        <v>1050000</v>
      </c>
    </row>
    <row r="196" spans="3:3" x14ac:dyDescent="0.25">
      <c r="C196" s="24">
        <v>3877333</v>
      </c>
    </row>
    <row r="197" spans="3:3" x14ac:dyDescent="0.25">
      <c r="C197" s="24">
        <v>6732440</v>
      </c>
    </row>
    <row r="198" spans="3:3" x14ac:dyDescent="0.25">
      <c r="C198" s="24">
        <v>3460000</v>
      </c>
    </row>
    <row r="199" spans="3:3" x14ac:dyDescent="0.25">
      <c r="C199" s="24">
        <v>588800</v>
      </c>
    </row>
    <row r="200" spans="3:3" x14ac:dyDescent="0.25">
      <c r="C200" s="24">
        <v>1868000</v>
      </c>
    </row>
    <row r="201" spans="3:3" x14ac:dyDescent="0.25">
      <c r="C201" s="24">
        <v>10313000</v>
      </c>
    </row>
    <row r="202" spans="3:3" x14ac:dyDescent="0.25">
      <c r="C202" s="24">
        <v>3443800</v>
      </c>
    </row>
    <row r="203" spans="3:3" x14ac:dyDescent="0.25">
      <c r="C203" s="24">
        <v>8136400</v>
      </c>
    </row>
    <row r="204" spans="3:3" x14ac:dyDescent="0.25">
      <c r="C204" s="24">
        <v>9675183</v>
      </c>
    </row>
    <row r="205" spans="3:3" x14ac:dyDescent="0.25">
      <c r="C205" s="24">
        <f>SUM(C189:C204)</f>
        <v>67853556</v>
      </c>
    </row>
  </sheetData>
  <mergeCells count="7">
    <mergeCell ref="D148:X148"/>
    <mergeCell ref="C1:U1"/>
    <mergeCell ref="E2:K2"/>
    <mergeCell ref="L2:T2"/>
    <mergeCell ref="A3:A46"/>
    <mergeCell ref="A47:A111"/>
    <mergeCell ref="E147:Q147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F411-D987-4F2D-86D7-C19B753F8C69}">
  <dimension ref="A1:AB205"/>
  <sheetViews>
    <sheetView workbookViewId="0">
      <selection activeCell="K19" sqref="K19"/>
    </sheetView>
  </sheetViews>
  <sheetFormatPr baseColWidth="10" defaultRowHeight="12" x14ac:dyDescent="0.25"/>
  <cols>
    <col min="1" max="1" width="10.42578125" style="45" customWidth="1"/>
    <col min="2" max="2" width="4.85546875" style="45" customWidth="1"/>
    <col min="3" max="3" width="32.28515625" style="52" customWidth="1"/>
    <col min="4" max="4" width="8.5703125" style="45" customWidth="1"/>
    <col min="5" max="5" width="10.85546875" style="47" customWidth="1"/>
    <col min="6" max="6" width="4.42578125" style="47" customWidth="1"/>
    <col min="7" max="7" width="13" style="47" customWidth="1"/>
    <col min="8" max="8" width="11.28515625" style="47" bestFit="1" customWidth="1"/>
    <col min="9" max="10" width="12.28515625" style="47" bestFit="1" customWidth="1"/>
    <col min="11" max="11" width="13.28515625" style="47" bestFit="1" customWidth="1"/>
    <col min="12" max="13" width="12.28515625" style="47" bestFit="1" customWidth="1"/>
    <col min="14" max="16" width="11.28515625" style="47" bestFit="1" customWidth="1"/>
    <col min="17" max="17" width="12.28515625" style="47" bestFit="1" customWidth="1"/>
    <col min="18" max="18" width="11.28515625" style="47" bestFit="1" customWidth="1"/>
    <col min="19" max="20" width="12.28515625" style="47" bestFit="1" customWidth="1"/>
    <col min="21" max="21" width="13.42578125" style="45" customWidth="1"/>
    <col min="22" max="22" width="1.7109375" style="45" customWidth="1"/>
    <col min="23" max="23" width="1.85546875" style="56" customWidth="1"/>
    <col min="24" max="24" width="27.28515625" style="45" customWidth="1"/>
    <col min="25" max="246" width="11.42578125" style="45"/>
    <col min="247" max="247" width="10.5703125" style="45" customWidth="1"/>
    <col min="248" max="248" width="4.85546875" style="45" customWidth="1"/>
    <col min="249" max="249" width="32.42578125" style="45" customWidth="1"/>
    <col min="250" max="250" width="9.85546875" style="45" customWidth="1"/>
    <col min="251" max="251" width="10.140625" style="45" customWidth="1"/>
    <col min="252" max="252" width="12.28515625" style="45" customWidth="1"/>
    <col min="253" max="253" width="15.42578125" style="45" customWidth="1"/>
    <col min="254" max="254" width="11.85546875" style="45" customWidth="1"/>
    <col min="255" max="255" width="13.28515625" style="45" customWidth="1"/>
    <col min="256" max="256" width="15.28515625" style="45" customWidth="1"/>
    <col min="257" max="257" width="11.85546875" style="45" customWidth="1"/>
    <col min="258" max="258" width="6.140625" style="45" customWidth="1"/>
    <col min="259" max="259" width="11.85546875" style="45" customWidth="1"/>
    <col min="260" max="260" width="9.42578125" style="45" customWidth="1"/>
    <col min="261" max="261" width="14.7109375" style="45" customWidth="1"/>
    <col min="262" max="262" width="11.5703125" style="45" customWidth="1"/>
    <col min="263" max="263" width="0.42578125" style="45" customWidth="1"/>
    <col min="264" max="264" width="10.5703125" style="45" bestFit="1" customWidth="1"/>
    <col min="265" max="265" width="12.28515625" style="45" customWidth="1"/>
    <col min="266" max="266" width="12.5703125" style="45" customWidth="1"/>
    <col min="267" max="267" width="10.5703125" style="45" customWidth="1"/>
    <col min="268" max="268" width="10.140625" style="45" customWidth="1"/>
    <col min="269" max="269" width="8.42578125" style="45" customWidth="1"/>
    <col min="270" max="270" width="18.85546875" style="45" customWidth="1"/>
    <col min="271" max="271" width="10.28515625" style="45" customWidth="1"/>
    <col min="272" max="272" width="11.42578125" style="45"/>
    <col min="273" max="273" width="12.140625" style="45" customWidth="1"/>
    <col min="274" max="274" width="10.5703125" style="45" customWidth="1"/>
    <col min="275" max="275" width="12.42578125" style="45" customWidth="1"/>
    <col min="276" max="276" width="15.140625" style="45" customWidth="1"/>
    <col min="277" max="277" width="13.5703125" style="45" customWidth="1"/>
    <col min="278" max="278" width="13.140625" style="45" customWidth="1"/>
    <col min="279" max="279" width="15.7109375" style="45" customWidth="1"/>
    <col min="280" max="280" width="37.5703125" style="45" customWidth="1"/>
    <col min="281" max="502" width="11.42578125" style="45"/>
    <col min="503" max="503" width="10.5703125" style="45" customWidth="1"/>
    <col min="504" max="504" width="4.85546875" style="45" customWidth="1"/>
    <col min="505" max="505" width="32.42578125" style="45" customWidth="1"/>
    <col min="506" max="506" width="9.85546875" style="45" customWidth="1"/>
    <col min="507" max="507" width="10.140625" style="45" customWidth="1"/>
    <col min="508" max="508" width="12.28515625" style="45" customWidth="1"/>
    <col min="509" max="509" width="15.42578125" style="45" customWidth="1"/>
    <col min="510" max="510" width="11.85546875" style="45" customWidth="1"/>
    <col min="511" max="511" width="13.28515625" style="45" customWidth="1"/>
    <col min="512" max="512" width="15.28515625" style="45" customWidth="1"/>
    <col min="513" max="513" width="11.85546875" style="45" customWidth="1"/>
    <col min="514" max="514" width="6.140625" style="45" customWidth="1"/>
    <col min="515" max="515" width="11.85546875" style="45" customWidth="1"/>
    <col min="516" max="516" width="9.42578125" style="45" customWidth="1"/>
    <col min="517" max="517" width="14.7109375" style="45" customWidth="1"/>
    <col min="518" max="518" width="11.5703125" style="45" customWidth="1"/>
    <col min="519" max="519" width="0.42578125" style="45" customWidth="1"/>
    <col min="520" max="520" width="10.5703125" style="45" bestFit="1" customWidth="1"/>
    <col min="521" max="521" width="12.28515625" style="45" customWidth="1"/>
    <col min="522" max="522" width="12.5703125" style="45" customWidth="1"/>
    <col min="523" max="523" width="10.5703125" style="45" customWidth="1"/>
    <col min="524" max="524" width="10.140625" style="45" customWidth="1"/>
    <col min="525" max="525" width="8.42578125" style="45" customWidth="1"/>
    <col min="526" max="526" width="18.85546875" style="45" customWidth="1"/>
    <col min="527" max="527" width="10.28515625" style="45" customWidth="1"/>
    <col min="528" max="528" width="11.42578125" style="45"/>
    <col min="529" max="529" width="12.140625" style="45" customWidth="1"/>
    <col min="530" max="530" width="10.5703125" style="45" customWidth="1"/>
    <col min="531" max="531" width="12.42578125" style="45" customWidth="1"/>
    <col min="532" max="532" width="15.140625" style="45" customWidth="1"/>
    <col min="533" max="533" width="13.5703125" style="45" customWidth="1"/>
    <col min="534" max="534" width="13.140625" style="45" customWidth="1"/>
    <col min="535" max="535" width="15.7109375" style="45" customWidth="1"/>
    <col min="536" max="536" width="37.5703125" style="45" customWidth="1"/>
    <col min="537" max="758" width="11.42578125" style="45"/>
    <col min="759" max="759" width="10.5703125" style="45" customWidth="1"/>
    <col min="760" max="760" width="4.85546875" style="45" customWidth="1"/>
    <col min="761" max="761" width="32.42578125" style="45" customWidth="1"/>
    <col min="762" max="762" width="9.85546875" style="45" customWidth="1"/>
    <col min="763" max="763" width="10.140625" style="45" customWidth="1"/>
    <col min="764" max="764" width="12.28515625" style="45" customWidth="1"/>
    <col min="765" max="765" width="15.42578125" style="45" customWidth="1"/>
    <col min="766" max="766" width="11.85546875" style="45" customWidth="1"/>
    <col min="767" max="767" width="13.28515625" style="45" customWidth="1"/>
    <col min="768" max="768" width="15.28515625" style="45" customWidth="1"/>
    <col min="769" max="769" width="11.85546875" style="45" customWidth="1"/>
    <col min="770" max="770" width="6.140625" style="45" customWidth="1"/>
    <col min="771" max="771" width="11.85546875" style="45" customWidth="1"/>
    <col min="772" max="772" width="9.42578125" style="45" customWidth="1"/>
    <col min="773" max="773" width="14.7109375" style="45" customWidth="1"/>
    <col min="774" max="774" width="11.5703125" style="45" customWidth="1"/>
    <col min="775" max="775" width="0.42578125" style="45" customWidth="1"/>
    <col min="776" max="776" width="10.5703125" style="45" bestFit="1" customWidth="1"/>
    <col min="777" max="777" width="12.28515625" style="45" customWidth="1"/>
    <col min="778" max="778" width="12.5703125" style="45" customWidth="1"/>
    <col min="779" max="779" width="10.5703125" style="45" customWidth="1"/>
    <col min="780" max="780" width="10.140625" style="45" customWidth="1"/>
    <col min="781" max="781" width="8.42578125" style="45" customWidth="1"/>
    <col min="782" max="782" width="18.85546875" style="45" customWidth="1"/>
    <col min="783" max="783" width="10.28515625" style="45" customWidth="1"/>
    <col min="784" max="784" width="11.42578125" style="45"/>
    <col min="785" max="785" width="12.140625" style="45" customWidth="1"/>
    <col min="786" max="786" width="10.5703125" style="45" customWidth="1"/>
    <col min="787" max="787" width="12.42578125" style="45" customWidth="1"/>
    <col min="788" max="788" width="15.140625" style="45" customWidth="1"/>
    <col min="789" max="789" width="13.5703125" style="45" customWidth="1"/>
    <col min="790" max="790" width="13.140625" style="45" customWidth="1"/>
    <col min="791" max="791" width="15.7109375" style="45" customWidth="1"/>
    <col min="792" max="792" width="37.5703125" style="45" customWidth="1"/>
    <col min="793" max="1014" width="11.42578125" style="45"/>
    <col min="1015" max="1015" width="10.5703125" style="45" customWidth="1"/>
    <col min="1016" max="1016" width="4.85546875" style="45" customWidth="1"/>
    <col min="1017" max="1017" width="32.42578125" style="45" customWidth="1"/>
    <col min="1018" max="1018" width="9.85546875" style="45" customWidth="1"/>
    <col min="1019" max="1019" width="10.140625" style="45" customWidth="1"/>
    <col min="1020" max="1020" width="12.28515625" style="45" customWidth="1"/>
    <col min="1021" max="1021" width="15.42578125" style="45" customWidth="1"/>
    <col min="1022" max="1022" width="11.85546875" style="45" customWidth="1"/>
    <col min="1023" max="1023" width="13.28515625" style="45" customWidth="1"/>
    <col min="1024" max="1024" width="15.28515625" style="45" customWidth="1"/>
    <col min="1025" max="1025" width="11.85546875" style="45" customWidth="1"/>
    <col min="1026" max="1026" width="6.140625" style="45" customWidth="1"/>
    <col min="1027" max="1027" width="11.85546875" style="45" customWidth="1"/>
    <col min="1028" max="1028" width="9.42578125" style="45" customWidth="1"/>
    <col min="1029" max="1029" width="14.7109375" style="45" customWidth="1"/>
    <col min="1030" max="1030" width="11.5703125" style="45" customWidth="1"/>
    <col min="1031" max="1031" width="0.42578125" style="45" customWidth="1"/>
    <col min="1032" max="1032" width="10.5703125" style="45" bestFit="1" customWidth="1"/>
    <col min="1033" max="1033" width="12.28515625" style="45" customWidth="1"/>
    <col min="1034" max="1034" width="12.5703125" style="45" customWidth="1"/>
    <col min="1035" max="1035" width="10.5703125" style="45" customWidth="1"/>
    <col min="1036" max="1036" width="10.140625" style="45" customWidth="1"/>
    <col min="1037" max="1037" width="8.42578125" style="45" customWidth="1"/>
    <col min="1038" max="1038" width="18.85546875" style="45" customWidth="1"/>
    <col min="1039" max="1039" width="10.28515625" style="45" customWidth="1"/>
    <col min="1040" max="1040" width="11.42578125" style="45"/>
    <col min="1041" max="1041" width="12.140625" style="45" customWidth="1"/>
    <col min="1042" max="1042" width="10.5703125" style="45" customWidth="1"/>
    <col min="1043" max="1043" width="12.42578125" style="45" customWidth="1"/>
    <col min="1044" max="1044" width="15.140625" style="45" customWidth="1"/>
    <col min="1045" max="1045" width="13.5703125" style="45" customWidth="1"/>
    <col min="1046" max="1046" width="13.140625" style="45" customWidth="1"/>
    <col min="1047" max="1047" width="15.7109375" style="45" customWidth="1"/>
    <col min="1048" max="1048" width="37.5703125" style="45" customWidth="1"/>
    <col min="1049" max="1270" width="11.42578125" style="45"/>
    <col min="1271" max="1271" width="10.5703125" style="45" customWidth="1"/>
    <col min="1272" max="1272" width="4.85546875" style="45" customWidth="1"/>
    <col min="1273" max="1273" width="32.42578125" style="45" customWidth="1"/>
    <col min="1274" max="1274" width="9.85546875" style="45" customWidth="1"/>
    <col min="1275" max="1275" width="10.140625" style="45" customWidth="1"/>
    <col min="1276" max="1276" width="12.28515625" style="45" customWidth="1"/>
    <col min="1277" max="1277" width="15.42578125" style="45" customWidth="1"/>
    <col min="1278" max="1278" width="11.85546875" style="45" customWidth="1"/>
    <col min="1279" max="1279" width="13.28515625" style="45" customWidth="1"/>
    <col min="1280" max="1280" width="15.28515625" style="45" customWidth="1"/>
    <col min="1281" max="1281" width="11.85546875" style="45" customWidth="1"/>
    <col min="1282" max="1282" width="6.140625" style="45" customWidth="1"/>
    <col min="1283" max="1283" width="11.85546875" style="45" customWidth="1"/>
    <col min="1284" max="1284" width="9.42578125" style="45" customWidth="1"/>
    <col min="1285" max="1285" width="14.7109375" style="45" customWidth="1"/>
    <col min="1286" max="1286" width="11.5703125" style="45" customWidth="1"/>
    <col min="1287" max="1287" width="0.42578125" style="45" customWidth="1"/>
    <col min="1288" max="1288" width="10.5703125" style="45" bestFit="1" customWidth="1"/>
    <col min="1289" max="1289" width="12.28515625" style="45" customWidth="1"/>
    <col min="1290" max="1290" width="12.5703125" style="45" customWidth="1"/>
    <col min="1291" max="1291" width="10.5703125" style="45" customWidth="1"/>
    <col min="1292" max="1292" width="10.140625" style="45" customWidth="1"/>
    <col min="1293" max="1293" width="8.42578125" style="45" customWidth="1"/>
    <col min="1294" max="1294" width="18.85546875" style="45" customWidth="1"/>
    <col min="1295" max="1295" width="10.28515625" style="45" customWidth="1"/>
    <col min="1296" max="1296" width="11.42578125" style="45"/>
    <col min="1297" max="1297" width="12.140625" style="45" customWidth="1"/>
    <col min="1298" max="1298" width="10.5703125" style="45" customWidth="1"/>
    <col min="1299" max="1299" width="12.42578125" style="45" customWidth="1"/>
    <col min="1300" max="1300" width="15.140625" style="45" customWidth="1"/>
    <col min="1301" max="1301" width="13.5703125" style="45" customWidth="1"/>
    <col min="1302" max="1302" width="13.140625" style="45" customWidth="1"/>
    <col min="1303" max="1303" width="15.7109375" style="45" customWidth="1"/>
    <col min="1304" max="1304" width="37.5703125" style="45" customWidth="1"/>
    <col min="1305" max="1526" width="11.42578125" style="45"/>
    <col min="1527" max="1527" width="10.5703125" style="45" customWidth="1"/>
    <col min="1528" max="1528" width="4.85546875" style="45" customWidth="1"/>
    <col min="1529" max="1529" width="32.42578125" style="45" customWidth="1"/>
    <col min="1530" max="1530" width="9.85546875" style="45" customWidth="1"/>
    <col min="1531" max="1531" width="10.140625" style="45" customWidth="1"/>
    <col min="1532" max="1532" width="12.28515625" style="45" customWidth="1"/>
    <col min="1533" max="1533" width="15.42578125" style="45" customWidth="1"/>
    <col min="1534" max="1534" width="11.85546875" style="45" customWidth="1"/>
    <col min="1535" max="1535" width="13.28515625" style="45" customWidth="1"/>
    <col min="1536" max="1536" width="15.28515625" style="45" customWidth="1"/>
    <col min="1537" max="1537" width="11.85546875" style="45" customWidth="1"/>
    <col min="1538" max="1538" width="6.140625" style="45" customWidth="1"/>
    <col min="1539" max="1539" width="11.85546875" style="45" customWidth="1"/>
    <col min="1540" max="1540" width="9.42578125" style="45" customWidth="1"/>
    <col min="1541" max="1541" width="14.7109375" style="45" customWidth="1"/>
    <col min="1542" max="1542" width="11.5703125" style="45" customWidth="1"/>
    <col min="1543" max="1543" width="0.42578125" style="45" customWidth="1"/>
    <col min="1544" max="1544" width="10.5703125" style="45" bestFit="1" customWidth="1"/>
    <col min="1545" max="1545" width="12.28515625" style="45" customWidth="1"/>
    <col min="1546" max="1546" width="12.5703125" style="45" customWidth="1"/>
    <col min="1547" max="1547" width="10.5703125" style="45" customWidth="1"/>
    <col min="1548" max="1548" width="10.140625" style="45" customWidth="1"/>
    <col min="1549" max="1549" width="8.42578125" style="45" customWidth="1"/>
    <col min="1550" max="1550" width="18.85546875" style="45" customWidth="1"/>
    <col min="1551" max="1551" width="10.28515625" style="45" customWidth="1"/>
    <col min="1552" max="1552" width="11.42578125" style="45"/>
    <col min="1553" max="1553" width="12.140625" style="45" customWidth="1"/>
    <col min="1554" max="1554" width="10.5703125" style="45" customWidth="1"/>
    <col min="1555" max="1555" width="12.42578125" style="45" customWidth="1"/>
    <col min="1556" max="1556" width="15.140625" style="45" customWidth="1"/>
    <col min="1557" max="1557" width="13.5703125" style="45" customWidth="1"/>
    <col min="1558" max="1558" width="13.140625" style="45" customWidth="1"/>
    <col min="1559" max="1559" width="15.7109375" style="45" customWidth="1"/>
    <col min="1560" max="1560" width="37.5703125" style="45" customWidth="1"/>
    <col min="1561" max="1782" width="11.42578125" style="45"/>
    <col min="1783" max="1783" width="10.5703125" style="45" customWidth="1"/>
    <col min="1784" max="1784" width="4.85546875" style="45" customWidth="1"/>
    <col min="1785" max="1785" width="32.42578125" style="45" customWidth="1"/>
    <col min="1786" max="1786" width="9.85546875" style="45" customWidth="1"/>
    <col min="1787" max="1787" width="10.140625" style="45" customWidth="1"/>
    <col min="1788" max="1788" width="12.28515625" style="45" customWidth="1"/>
    <col min="1789" max="1789" width="15.42578125" style="45" customWidth="1"/>
    <col min="1790" max="1790" width="11.85546875" style="45" customWidth="1"/>
    <col min="1791" max="1791" width="13.28515625" style="45" customWidth="1"/>
    <col min="1792" max="1792" width="15.28515625" style="45" customWidth="1"/>
    <col min="1793" max="1793" width="11.85546875" style="45" customWidth="1"/>
    <col min="1794" max="1794" width="6.140625" style="45" customWidth="1"/>
    <col min="1795" max="1795" width="11.85546875" style="45" customWidth="1"/>
    <col min="1796" max="1796" width="9.42578125" style="45" customWidth="1"/>
    <col min="1797" max="1797" width="14.7109375" style="45" customWidth="1"/>
    <col min="1798" max="1798" width="11.5703125" style="45" customWidth="1"/>
    <col min="1799" max="1799" width="0.42578125" style="45" customWidth="1"/>
    <col min="1800" max="1800" width="10.5703125" style="45" bestFit="1" customWidth="1"/>
    <col min="1801" max="1801" width="12.28515625" style="45" customWidth="1"/>
    <col min="1802" max="1802" width="12.5703125" style="45" customWidth="1"/>
    <col min="1803" max="1803" width="10.5703125" style="45" customWidth="1"/>
    <col min="1804" max="1804" width="10.140625" style="45" customWidth="1"/>
    <col min="1805" max="1805" width="8.42578125" style="45" customWidth="1"/>
    <col min="1806" max="1806" width="18.85546875" style="45" customWidth="1"/>
    <col min="1807" max="1807" width="10.28515625" style="45" customWidth="1"/>
    <col min="1808" max="1808" width="11.42578125" style="45"/>
    <col min="1809" max="1809" width="12.140625" style="45" customWidth="1"/>
    <col min="1810" max="1810" width="10.5703125" style="45" customWidth="1"/>
    <col min="1811" max="1811" width="12.42578125" style="45" customWidth="1"/>
    <col min="1812" max="1812" width="15.140625" style="45" customWidth="1"/>
    <col min="1813" max="1813" width="13.5703125" style="45" customWidth="1"/>
    <col min="1814" max="1814" width="13.140625" style="45" customWidth="1"/>
    <col min="1815" max="1815" width="15.7109375" style="45" customWidth="1"/>
    <col min="1816" max="1816" width="37.5703125" style="45" customWidth="1"/>
    <col min="1817" max="2038" width="11.42578125" style="45"/>
    <col min="2039" max="2039" width="10.5703125" style="45" customWidth="1"/>
    <col min="2040" max="2040" width="4.85546875" style="45" customWidth="1"/>
    <col min="2041" max="2041" width="32.42578125" style="45" customWidth="1"/>
    <col min="2042" max="2042" width="9.85546875" style="45" customWidth="1"/>
    <col min="2043" max="2043" width="10.140625" style="45" customWidth="1"/>
    <col min="2044" max="2044" width="12.28515625" style="45" customWidth="1"/>
    <col min="2045" max="2045" width="15.42578125" style="45" customWidth="1"/>
    <col min="2046" max="2046" width="11.85546875" style="45" customWidth="1"/>
    <col min="2047" max="2047" width="13.28515625" style="45" customWidth="1"/>
    <col min="2048" max="2048" width="15.28515625" style="45" customWidth="1"/>
    <col min="2049" max="2049" width="11.85546875" style="45" customWidth="1"/>
    <col min="2050" max="2050" width="6.140625" style="45" customWidth="1"/>
    <col min="2051" max="2051" width="11.85546875" style="45" customWidth="1"/>
    <col min="2052" max="2052" width="9.42578125" style="45" customWidth="1"/>
    <col min="2053" max="2053" width="14.7109375" style="45" customWidth="1"/>
    <col min="2054" max="2054" width="11.5703125" style="45" customWidth="1"/>
    <col min="2055" max="2055" width="0.42578125" style="45" customWidth="1"/>
    <col min="2056" max="2056" width="10.5703125" style="45" bestFit="1" customWidth="1"/>
    <col min="2057" max="2057" width="12.28515625" style="45" customWidth="1"/>
    <col min="2058" max="2058" width="12.5703125" style="45" customWidth="1"/>
    <col min="2059" max="2059" width="10.5703125" style="45" customWidth="1"/>
    <col min="2060" max="2060" width="10.140625" style="45" customWidth="1"/>
    <col min="2061" max="2061" width="8.42578125" style="45" customWidth="1"/>
    <col min="2062" max="2062" width="18.85546875" style="45" customWidth="1"/>
    <col min="2063" max="2063" width="10.28515625" style="45" customWidth="1"/>
    <col min="2064" max="2064" width="11.42578125" style="45"/>
    <col min="2065" max="2065" width="12.140625" style="45" customWidth="1"/>
    <col min="2066" max="2066" width="10.5703125" style="45" customWidth="1"/>
    <col min="2067" max="2067" width="12.42578125" style="45" customWidth="1"/>
    <col min="2068" max="2068" width="15.140625" style="45" customWidth="1"/>
    <col min="2069" max="2069" width="13.5703125" style="45" customWidth="1"/>
    <col min="2070" max="2070" width="13.140625" style="45" customWidth="1"/>
    <col min="2071" max="2071" width="15.7109375" style="45" customWidth="1"/>
    <col min="2072" max="2072" width="37.5703125" style="45" customWidth="1"/>
    <col min="2073" max="2294" width="11.42578125" style="45"/>
    <col min="2295" max="2295" width="10.5703125" style="45" customWidth="1"/>
    <col min="2296" max="2296" width="4.85546875" style="45" customWidth="1"/>
    <col min="2297" max="2297" width="32.42578125" style="45" customWidth="1"/>
    <col min="2298" max="2298" width="9.85546875" style="45" customWidth="1"/>
    <col min="2299" max="2299" width="10.140625" style="45" customWidth="1"/>
    <col min="2300" max="2300" width="12.28515625" style="45" customWidth="1"/>
    <col min="2301" max="2301" width="15.42578125" style="45" customWidth="1"/>
    <col min="2302" max="2302" width="11.85546875" style="45" customWidth="1"/>
    <col min="2303" max="2303" width="13.28515625" style="45" customWidth="1"/>
    <col min="2304" max="2304" width="15.28515625" style="45" customWidth="1"/>
    <col min="2305" max="2305" width="11.85546875" style="45" customWidth="1"/>
    <col min="2306" max="2306" width="6.140625" style="45" customWidth="1"/>
    <col min="2307" max="2307" width="11.85546875" style="45" customWidth="1"/>
    <col min="2308" max="2308" width="9.42578125" style="45" customWidth="1"/>
    <col min="2309" max="2309" width="14.7109375" style="45" customWidth="1"/>
    <col min="2310" max="2310" width="11.5703125" style="45" customWidth="1"/>
    <col min="2311" max="2311" width="0.42578125" style="45" customWidth="1"/>
    <col min="2312" max="2312" width="10.5703125" style="45" bestFit="1" customWidth="1"/>
    <col min="2313" max="2313" width="12.28515625" style="45" customWidth="1"/>
    <col min="2314" max="2314" width="12.5703125" style="45" customWidth="1"/>
    <col min="2315" max="2315" width="10.5703125" style="45" customWidth="1"/>
    <col min="2316" max="2316" width="10.140625" style="45" customWidth="1"/>
    <col min="2317" max="2317" width="8.42578125" style="45" customWidth="1"/>
    <col min="2318" max="2318" width="18.85546875" style="45" customWidth="1"/>
    <col min="2319" max="2319" width="10.28515625" style="45" customWidth="1"/>
    <col min="2320" max="2320" width="11.42578125" style="45"/>
    <col min="2321" max="2321" width="12.140625" style="45" customWidth="1"/>
    <col min="2322" max="2322" width="10.5703125" style="45" customWidth="1"/>
    <col min="2323" max="2323" width="12.42578125" style="45" customWidth="1"/>
    <col min="2324" max="2324" width="15.140625" style="45" customWidth="1"/>
    <col min="2325" max="2325" width="13.5703125" style="45" customWidth="1"/>
    <col min="2326" max="2326" width="13.140625" style="45" customWidth="1"/>
    <col min="2327" max="2327" width="15.7109375" style="45" customWidth="1"/>
    <col min="2328" max="2328" width="37.5703125" style="45" customWidth="1"/>
    <col min="2329" max="2550" width="11.42578125" style="45"/>
    <col min="2551" max="2551" width="10.5703125" style="45" customWidth="1"/>
    <col min="2552" max="2552" width="4.85546875" style="45" customWidth="1"/>
    <col min="2553" max="2553" width="32.42578125" style="45" customWidth="1"/>
    <col min="2554" max="2554" width="9.85546875" style="45" customWidth="1"/>
    <col min="2555" max="2555" width="10.140625" style="45" customWidth="1"/>
    <col min="2556" max="2556" width="12.28515625" style="45" customWidth="1"/>
    <col min="2557" max="2557" width="15.42578125" style="45" customWidth="1"/>
    <col min="2558" max="2558" width="11.85546875" style="45" customWidth="1"/>
    <col min="2559" max="2559" width="13.28515625" style="45" customWidth="1"/>
    <col min="2560" max="2560" width="15.28515625" style="45" customWidth="1"/>
    <col min="2561" max="2561" width="11.85546875" style="45" customWidth="1"/>
    <col min="2562" max="2562" width="6.140625" style="45" customWidth="1"/>
    <col min="2563" max="2563" width="11.85546875" style="45" customWidth="1"/>
    <col min="2564" max="2564" width="9.42578125" style="45" customWidth="1"/>
    <col min="2565" max="2565" width="14.7109375" style="45" customWidth="1"/>
    <col min="2566" max="2566" width="11.5703125" style="45" customWidth="1"/>
    <col min="2567" max="2567" width="0.42578125" style="45" customWidth="1"/>
    <col min="2568" max="2568" width="10.5703125" style="45" bestFit="1" customWidth="1"/>
    <col min="2569" max="2569" width="12.28515625" style="45" customWidth="1"/>
    <col min="2570" max="2570" width="12.5703125" style="45" customWidth="1"/>
    <col min="2571" max="2571" width="10.5703125" style="45" customWidth="1"/>
    <col min="2572" max="2572" width="10.140625" style="45" customWidth="1"/>
    <col min="2573" max="2573" width="8.42578125" style="45" customWidth="1"/>
    <col min="2574" max="2574" width="18.85546875" style="45" customWidth="1"/>
    <col min="2575" max="2575" width="10.28515625" style="45" customWidth="1"/>
    <col min="2576" max="2576" width="11.42578125" style="45"/>
    <col min="2577" max="2577" width="12.140625" style="45" customWidth="1"/>
    <col min="2578" max="2578" width="10.5703125" style="45" customWidth="1"/>
    <col min="2579" max="2579" width="12.42578125" style="45" customWidth="1"/>
    <col min="2580" max="2580" width="15.140625" style="45" customWidth="1"/>
    <col min="2581" max="2581" width="13.5703125" style="45" customWidth="1"/>
    <col min="2582" max="2582" width="13.140625" style="45" customWidth="1"/>
    <col min="2583" max="2583" width="15.7109375" style="45" customWidth="1"/>
    <col min="2584" max="2584" width="37.5703125" style="45" customWidth="1"/>
    <col min="2585" max="2806" width="11.42578125" style="45"/>
    <col min="2807" max="2807" width="10.5703125" style="45" customWidth="1"/>
    <col min="2808" max="2808" width="4.85546875" style="45" customWidth="1"/>
    <col min="2809" max="2809" width="32.42578125" style="45" customWidth="1"/>
    <col min="2810" max="2810" width="9.85546875" style="45" customWidth="1"/>
    <col min="2811" max="2811" width="10.140625" style="45" customWidth="1"/>
    <col min="2812" max="2812" width="12.28515625" style="45" customWidth="1"/>
    <col min="2813" max="2813" width="15.42578125" style="45" customWidth="1"/>
    <col min="2814" max="2814" width="11.85546875" style="45" customWidth="1"/>
    <col min="2815" max="2815" width="13.28515625" style="45" customWidth="1"/>
    <col min="2816" max="2816" width="15.28515625" style="45" customWidth="1"/>
    <col min="2817" max="2817" width="11.85546875" style="45" customWidth="1"/>
    <col min="2818" max="2818" width="6.140625" style="45" customWidth="1"/>
    <col min="2819" max="2819" width="11.85546875" style="45" customWidth="1"/>
    <col min="2820" max="2820" width="9.42578125" style="45" customWidth="1"/>
    <col min="2821" max="2821" width="14.7109375" style="45" customWidth="1"/>
    <col min="2822" max="2822" width="11.5703125" style="45" customWidth="1"/>
    <col min="2823" max="2823" width="0.42578125" style="45" customWidth="1"/>
    <col min="2824" max="2824" width="10.5703125" style="45" bestFit="1" customWidth="1"/>
    <col min="2825" max="2825" width="12.28515625" style="45" customWidth="1"/>
    <col min="2826" max="2826" width="12.5703125" style="45" customWidth="1"/>
    <col min="2827" max="2827" width="10.5703125" style="45" customWidth="1"/>
    <col min="2828" max="2828" width="10.140625" style="45" customWidth="1"/>
    <col min="2829" max="2829" width="8.42578125" style="45" customWidth="1"/>
    <col min="2830" max="2830" width="18.85546875" style="45" customWidth="1"/>
    <col min="2831" max="2831" width="10.28515625" style="45" customWidth="1"/>
    <col min="2832" max="2832" width="11.42578125" style="45"/>
    <col min="2833" max="2833" width="12.140625" style="45" customWidth="1"/>
    <col min="2834" max="2834" width="10.5703125" style="45" customWidth="1"/>
    <col min="2835" max="2835" width="12.42578125" style="45" customWidth="1"/>
    <col min="2836" max="2836" width="15.140625" style="45" customWidth="1"/>
    <col min="2837" max="2837" width="13.5703125" style="45" customWidth="1"/>
    <col min="2838" max="2838" width="13.140625" style="45" customWidth="1"/>
    <col min="2839" max="2839" width="15.7109375" style="45" customWidth="1"/>
    <col min="2840" max="2840" width="37.5703125" style="45" customWidth="1"/>
    <col min="2841" max="3062" width="11.42578125" style="45"/>
    <col min="3063" max="3063" width="10.5703125" style="45" customWidth="1"/>
    <col min="3064" max="3064" width="4.85546875" style="45" customWidth="1"/>
    <col min="3065" max="3065" width="32.42578125" style="45" customWidth="1"/>
    <col min="3066" max="3066" width="9.85546875" style="45" customWidth="1"/>
    <col min="3067" max="3067" width="10.140625" style="45" customWidth="1"/>
    <col min="3068" max="3068" width="12.28515625" style="45" customWidth="1"/>
    <col min="3069" max="3069" width="15.42578125" style="45" customWidth="1"/>
    <col min="3070" max="3070" width="11.85546875" style="45" customWidth="1"/>
    <col min="3071" max="3071" width="13.28515625" style="45" customWidth="1"/>
    <col min="3072" max="3072" width="15.28515625" style="45" customWidth="1"/>
    <col min="3073" max="3073" width="11.85546875" style="45" customWidth="1"/>
    <col min="3074" max="3074" width="6.140625" style="45" customWidth="1"/>
    <col min="3075" max="3075" width="11.85546875" style="45" customWidth="1"/>
    <col min="3076" max="3076" width="9.42578125" style="45" customWidth="1"/>
    <col min="3077" max="3077" width="14.7109375" style="45" customWidth="1"/>
    <col min="3078" max="3078" width="11.5703125" style="45" customWidth="1"/>
    <col min="3079" max="3079" width="0.42578125" style="45" customWidth="1"/>
    <col min="3080" max="3080" width="10.5703125" style="45" bestFit="1" customWidth="1"/>
    <col min="3081" max="3081" width="12.28515625" style="45" customWidth="1"/>
    <col min="3082" max="3082" width="12.5703125" style="45" customWidth="1"/>
    <col min="3083" max="3083" width="10.5703125" style="45" customWidth="1"/>
    <col min="3084" max="3084" width="10.140625" style="45" customWidth="1"/>
    <col min="3085" max="3085" width="8.42578125" style="45" customWidth="1"/>
    <col min="3086" max="3086" width="18.85546875" style="45" customWidth="1"/>
    <col min="3087" max="3087" width="10.28515625" style="45" customWidth="1"/>
    <col min="3088" max="3088" width="11.42578125" style="45"/>
    <col min="3089" max="3089" width="12.140625" style="45" customWidth="1"/>
    <col min="3090" max="3090" width="10.5703125" style="45" customWidth="1"/>
    <col min="3091" max="3091" width="12.42578125" style="45" customWidth="1"/>
    <col min="3092" max="3092" width="15.140625" style="45" customWidth="1"/>
    <col min="3093" max="3093" width="13.5703125" style="45" customWidth="1"/>
    <col min="3094" max="3094" width="13.140625" style="45" customWidth="1"/>
    <col min="3095" max="3095" width="15.7109375" style="45" customWidth="1"/>
    <col min="3096" max="3096" width="37.5703125" style="45" customWidth="1"/>
    <col min="3097" max="3318" width="11.42578125" style="45"/>
    <col min="3319" max="3319" width="10.5703125" style="45" customWidth="1"/>
    <col min="3320" max="3320" width="4.85546875" style="45" customWidth="1"/>
    <col min="3321" max="3321" width="32.42578125" style="45" customWidth="1"/>
    <col min="3322" max="3322" width="9.85546875" style="45" customWidth="1"/>
    <col min="3323" max="3323" width="10.140625" style="45" customWidth="1"/>
    <col min="3324" max="3324" width="12.28515625" style="45" customWidth="1"/>
    <col min="3325" max="3325" width="15.42578125" style="45" customWidth="1"/>
    <col min="3326" max="3326" width="11.85546875" style="45" customWidth="1"/>
    <col min="3327" max="3327" width="13.28515625" style="45" customWidth="1"/>
    <col min="3328" max="3328" width="15.28515625" style="45" customWidth="1"/>
    <col min="3329" max="3329" width="11.85546875" style="45" customWidth="1"/>
    <col min="3330" max="3330" width="6.140625" style="45" customWidth="1"/>
    <col min="3331" max="3331" width="11.85546875" style="45" customWidth="1"/>
    <col min="3332" max="3332" width="9.42578125" style="45" customWidth="1"/>
    <col min="3333" max="3333" width="14.7109375" style="45" customWidth="1"/>
    <col min="3334" max="3334" width="11.5703125" style="45" customWidth="1"/>
    <col min="3335" max="3335" width="0.42578125" style="45" customWidth="1"/>
    <col min="3336" max="3336" width="10.5703125" style="45" bestFit="1" customWidth="1"/>
    <col min="3337" max="3337" width="12.28515625" style="45" customWidth="1"/>
    <col min="3338" max="3338" width="12.5703125" style="45" customWidth="1"/>
    <col min="3339" max="3339" width="10.5703125" style="45" customWidth="1"/>
    <col min="3340" max="3340" width="10.140625" style="45" customWidth="1"/>
    <col min="3341" max="3341" width="8.42578125" style="45" customWidth="1"/>
    <col min="3342" max="3342" width="18.85546875" style="45" customWidth="1"/>
    <col min="3343" max="3343" width="10.28515625" style="45" customWidth="1"/>
    <col min="3344" max="3344" width="11.42578125" style="45"/>
    <col min="3345" max="3345" width="12.140625" style="45" customWidth="1"/>
    <col min="3346" max="3346" width="10.5703125" style="45" customWidth="1"/>
    <col min="3347" max="3347" width="12.42578125" style="45" customWidth="1"/>
    <col min="3348" max="3348" width="15.140625" style="45" customWidth="1"/>
    <col min="3349" max="3349" width="13.5703125" style="45" customWidth="1"/>
    <col min="3350" max="3350" width="13.140625" style="45" customWidth="1"/>
    <col min="3351" max="3351" width="15.7109375" style="45" customWidth="1"/>
    <col min="3352" max="3352" width="37.5703125" style="45" customWidth="1"/>
    <col min="3353" max="3574" width="11.42578125" style="45"/>
    <col min="3575" max="3575" width="10.5703125" style="45" customWidth="1"/>
    <col min="3576" max="3576" width="4.85546875" style="45" customWidth="1"/>
    <col min="3577" max="3577" width="32.42578125" style="45" customWidth="1"/>
    <col min="3578" max="3578" width="9.85546875" style="45" customWidth="1"/>
    <col min="3579" max="3579" width="10.140625" style="45" customWidth="1"/>
    <col min="3580" max="3580" width="12.28515625" style="45" customWidth="1"/>
    <col min="3581" max="3581" width="15.42578125" style="45" customWidth="1"/>
    <col min="3582" max="3582" width="11.85546875" style="45" customWidth="1"/>
    <col min="3583" max="3583" width="13.28515625" style="45" customWidth="1"/>
    <col min="3584" max="3584" width="15.28515625" style="45" customWidth="1"/>
    <col min="3585" max="3585" width="11.85546875" style="45" customWidth="1"/>
    <col min="3586" max="3586" width="6.140625" style="45" customWidth="1"/>
    <col min="3587" max="3587" width="11.85546875" style="45" customWidth="1"/>
    <col min="3588" max="3588" width="9.42578125" style="45" customWidth="1"/>
    <col min="3589" max="3589" width="14.7109375" style="45" customWidth="1"/>
    <col min="3590" max="3590" width="11.5703125" style="45" customWidth="1"/>
    <col min="3591" max="3591" width="0.42578125" style="45" customWidth="1"/>
    <col min="3592" max="3592" width="10.5703125" style="45" bestFit="1" customWidth="1"/>
    <col min="3593" max="3593" width="12.28515625" style="45" customWidth="1"/>
    <col min="3594" max="3594" width="12.5703125" style="45" customWidth="1"/>
    <col min="3595" max="3595" width="10.5703125" style="45" customWidth="1"/>
    <col min="3596" max="3596" width="10.140625" style="45" customWidth="1"/>
    <col min="3597" max="3597" width="8.42578125" style="45" customWidth="1"/>
    <col min="3598" max="3598" width="18.85546875" style="45" customWidth="1"/>
    <col min="3599" max="3599" width="10.28515625" style="45" customWidth="1"/>
    <col min="3600" max="3600" width="11.42578125" style="45"/>
    <col min="3601" max="3601" width="12.140625" style="45" customWidth="1"/>
    <col min="3602" max="3602" width="10.5703125" style="45" customWidth="1"/>
    <col min="3603" max="3603" width="12.42578125" style="45" customWidth="1"/>
    <col min="3604" max="3604" width="15.140625" style="45" customWidth="1"/>
    <col min="3605" max="3605" width="13.5703125" style="45" customWidth="1"/>
    <col min="3606" max="3606" width="13.140625" style="45" customWidth="1"/>
    <col min="3607" max="3607" width="15.7109375" style="45" customWidth="1"/>
    <col min="3608" max="3608" width="37.5703125" style="45" customWidth="1"/>
    <col min="3609" max="3830" width="11.42578125" style="45"/>
    <col min="3831" max="3831" width="10.5703125" style="45" customWidth="1"/>
    <col min="3832" max="3832" width="4.85546875" style="45" customWidth="1"/>
    <col min="3833" max="3833" width="32.42578125" style="45" customWidth="1"/>
    <col min="3834" max="3834" width="9.85546875" style="45" customWidth="1"/>
    <col min="3835" max="3835" width="10.140625" style="45" customWidth="1"/>
    <col min="3836" max="3836" width="12.28515625" style="45" customWidth="1"/>
    <col min="3837" max="3837" width="15.42578125" style="45" customWidth="1"/>
    <col min="3838" max="3838" width="11.85546875" style="45" customWidth="1"/>
    <col min="3839" max="3839" width="13.28515625" style="45" customWidth="1"/>
    <col min="3840" max="3840" width="15.28515625" style="45" customWidth="1"/>
    <col min="3841" max="3841" width="11.85546875" style="45" customWidth="1"/>
    <col min="3842" max="3842" width="6.140625" style="45" customWidth="1"/>
    <col min="3843" max="3843" width="11.85546875" style="45" customWidth="1"/>
    <col min="3844" max="3844" width="9.42578125" style="45" customWidth="1"/>
    <col min="3845" max="3845" width="14.7109375" style="45" customWidth="1"/>
    <col min="3846" max="3846" width="11.5703125" style="45" customWidth="1"/>
    <col min="3847" max="3847" width="0.42578125" style="45" customWidth="1"/>
    <col min="3848" max="3848" width="10.5703125" style="45" bestFit="1" customWidth="1"/>
    <col min="3849" max="3849" width="12.28515625" style="45" customWidth="1"/>
    <col min="3850" max="3850" width="12.5703125" style="45" customWidth="1"/>
    <col min="3851" max="3851" width="10.5703125" style="45" customWidth="1"/>
    <col min="3852" max="3852" width="10.140625" style="45" customWidth="1"/>
    <col min="3853" max="3853" width="8.42578125" style="45" customWidth="1"/>
    <col min="3854" max="3854" width="18.85546875" style="45" customWidth="1"/>
    <col min="3855" max="3855" width="10.28515625" style="45" customWidth="1"/>
    <col min="3856" max="3856" width="11.42578125" style="45"/>
    <col min="3857" max="3857" width="12.140625" style="45" customWidth="1"/>
    <col min="3858" max="3858" width="10.5703125" style="45" customWidth="1"/>
    <col min="3859" max="3859" width="12.42578125" style="45" customWidth="1"/>
    <col min="3860" max="3860" width="15.140625" style="45" customWidth="1"/>
    <col min="3861" max="3861" width="13.5703125" style="45" customWidth="1"/>
    <col min="3862" max="3862" width="13.140625" style="45" customWidth="1"/>
    <col min="3863" max="3863" width="15.7109375" style="45" customWidth="1"/>
    <col min="3864" max="3864" width="37.5703125" style="45" customWidth="1"/>
    <col min="3865" max="4086" width="11.42578125" style="45"/>
    <col min="4087" max="4087" width="10.5703125" style="45" customWidth="1"/>
    <col min="4088" max="4088" width="4.85546875" style="45" customWidth="1"/>
    <col min="4089" max="4089" width="32.42578125" style="45" customWidth="1"/>
    <col min="4090" max="4090" width="9.85546875" style="45" customWidth="1"/>
    <col min="4091" max="4091" width="10.140625" style="45" customWidth="1"/>
    <col min="4092" max="4092" width="12.28515625" style="45" customWidth="1"/>
    <col min="4093" max="4093" width="15.42578125" style="45" customWidth="1"/>
    <col min="4094" max="4094" width="11.85546875" style="45" customWidth="1"/>
    <col min="4095" max="4095" width="13.28515625" style="45" customWidth="1"/>
    <col min="4096" max="4096" width="15.28515625" style="45" customWidth="1"/>
    <col min="4097" max="4097" width="11.85546875" style="45" customWidth="1"/>
    <col min="4098" max="4098" width="6.140625" style="45" customWidth="1"/>
    <col min="4099" max="4099" width="11.85546875" style="45" customWidth="1"/>
    <col min="4100" max="4100" width="9.42578125" style="45" customWidth="1"/>
    <col min="4101" max="4101" width="14.7109375" style="45" customWidth="1"/>
    <col min="4102" max="4102" width="11.5703125" style="45" customWidth="1"/>
    <col min="4103" max="4103" width="0.42578125" style="45" customWidth="1"/>
    <col min="4104" max="4104" width="10.5703125" style="45" bestFit="1" customWidth="1"/>
    <col min="4105" max="4105" width="12.28515625" style="45" customWidth="1"/>
    <col min="4106" max="4106" width="12.5703125" style="45" customWidth="1"/>
    <col min="4107" max="4107" width="10.5703125" style="45" customWidth="1"/>
    <col min="4108" max="4108" width="10.140625" style="45" customWidth="1"/>
    <col min="4109" max="4109" width="8.42578125" style="45" customWidth="1"/>
    <col min="4110" max="4110" width="18.85546875" style="45" customWidth="1"/>
    <col min="4111" max="4111" width="10.28515625" style="45" customWidth="1"/>
    <col min="4112" max="4112" width="11.42578125" style="45"/>
    <col min="4113" max="4113" width="12.140625" style="45" customWidth="1"/>
    <col min="4114" max="4114" width="10.5703125" style="45" customWidth="1"/>
    <col min="4115" max="4115" width="12.42578125" style="45" customWidth="1"/>
    <col min="4116" max="4116" width="15.140625" style="45" customWidth="1"/>
    <col min="4117" max="4117" width="13.5703125" style="45" customWidth="1"/>
    <col min="4118" max="4118" width="13.140625" style="45" customWidth="1"/>
    <col min="4119" max="4119" width="15.7109375" style="45" customWidth="1"/>
    <col min="4120" max="4120" width="37.5703125" style="45" customWidth="1"/>
    <col min="4121" max="4342" width="11.42578125" style="45"/>
    <col min="4343" max="4343" width="10.5703125" style="45" customWidth="1"/>
    <col min="4344" max="4344" width="4.85546875" style="45" customWidth="1"/>
    <col min="4345" max="4345" width="32.42578125" style="45" customWidth="1"/>
    <col min="4346" max="4346" width="9.85546875" style="45" customWidth="1"/>
    <col min="4347" max="4347" width="10.140625" style="45" customWidth="1"/>
    <col min="4348" max="4348" width="12.28515625" style="45" customWidth="1"/>
    <col min="4349" max="4349" width="15.42578125" style="45" customWidth="1"/>
    <col min="4350" max="4350" width="11.85546875" style="45" customWidth="1"/>
    <col min="4351" max="4351" width="13.28515625" style="45" customWidth="1"/>
    <col min="4352" max="4352" width="15.28515625" style="45" customWidth="1"/>
    <col min="4353" max="4353" width="11.85546875" style="45" customWidth="1"/>
    <col min="4354" max="4354" width="6.140625" style="45" customWidth="1"/>
    <col min="4355" max="4355" width="11.85546875" style="45" customWidth="1"/>
    <col min="4356" max="4356" width="9.42578125" style="45" customWidth="1"/>
    <col min="4357" max="4357" width="14.7109375" style="45" customWidth="1"/>
    <col min="4358" max="4358" width="11.5703125" style="45" customWidth="1"/>
    <col min="4359" max="4359" width="0.42578125" style="45" customWidth="1"/>
    <col min="4360" max="4360" width="10.5703125" style="45" bestFit="1" customWidth="1"/>
    <col min="4361" max="4361" width="12.28515625" style="45" customWidth="1"/>
    <col min="4362" max="4362" width="12.5703125" style="45" customWidth="1"/>
    <col min="4363" max="4363" width="10.5703125" style="45" customWidth="1"/>
    <col min="4364" max="4364" width="10.140625" style="45" customWidth="1"/>
    <col min="4365" max="4365" width="8.42578125" style="45" customWidth="1"/>
    <col min="4366" max="4366" width="18.85546875" style="45" customWidth="1"/>
    <col min="4367" max="4367" width="10.28515625" style="45" customWidth="1"/>
    <col min="4368" max="4368" width="11.42578125" style="45"/>
    <col min="4369" max="4369" width="12.140625" style="45" customWidth="1"/>
    <col min="4370" max="4370" width="10.5703125" style="45" customWidth="1"/>
    <col min="4371" max="4371" width="12.42578125" style="45" customWidth="1"/>
    <col min="4372" max="4372" width="15.140625" style="45" customWidth="1"/>
    <col min="4373" max="4373" width="13.5703125" style="45" customWidth="1"/>
    <col min="4374" max="4374" width="13.140625" style="45" customWidth="1"/>
    <col min="4375" max="4375" width="15.7109375" style="45" customWidth="1"/>
    <col min="4376" max="4376" width="37.5703125" style="45" customWidth="1"/>
    <col min="4377" max="4598" width="11.42578125" style="45"/>
    <col min="4599" max="4599" width="10.5703125" style="45" customWidth="1"/>
    <col min="4600" max="4600" width="4.85546875" style="45" customWidth="1"/>
    <col min="4601" max="4601" width="32.42578125" style="45" customWidth="1"/>
    <col min="4602" max="4602" width="9.85546875" style="45" customWidth="1"/>
    <col min="4603" max="4603" width="10.140625" style="45" customWidth="1"/>
    <col min="4604" max="4604" width="12.28515625" style="45" customWidth="1"/>
    <col min="4605" max="4605" width="15.42578125" style="45" customWidth="1"/>
    <col min="4606" max="4606" width="11.85546875" style="45" customWidth="1"/>
    <col min="4607" max="4607" width="13.28515625" style="45" customWidth="1"/>
    <col min="4608" max="4608" width="15.28515625" style="45" customWidth="1"/>
    <col min="4609" max="4609" width="11.85546875" style="45" customWidth="1"/>
    <col min="4610" max="4610" width="6.140625" style="45" customWidth="1"/>
    <col min="4611" max="4611" width="11.85546875" style="45" customWidth="1"/>
    <col min="4612" max="4612" width="9.42578125" style="45" customWidth="1"/>
    <col min="4613" max="4613" width="14.7109375" style="45" customWidth="1"/>
    <col min="4614" max="4614" width="11.5703125" style="45" customWidth="1"/>
    <col min="4615" max="4615" width="0.42578125" style="45" customWidth="1"/>
    <col min="4616" max="4616" width="10.5703125" style="45" bestFit="1" customWidth="1"/>
    <col min="4617" max="4617" width="12.28515625" style="45" customWidth="1"/>
    <col min="4618" max="4618" width="12.5703125" style="45" customWidth="1"/>
    <col min="4619" max="4619" width="10.5703125" style="45" customWidth="1"/>
    <col min="4620" max="4620" width="10.140625" style="45" customWidth="1"/>
    <col min="4621" max="4621" width="8.42578125" style="45" customWidth="1"/>
    <col min="4622" max="4622" width="18.85546875" style="45" customWidth="1"/>
    <col min="4623" max="4623" width="10.28515625" style="45" customWidth="1"/>
    <col min="4624" max="4624" width="11.42578125" style="45"/>
    <col min="4625" max="4625" width="12.140625" style="45" customWidth="1"/>
    <col min="4626" max="4626" width="10.5703125" style="45" customWidth="1"/>
    <col min="4627" max="4627" width="12.42578125" style="45" customWidth="1"/>
    <col min="4628" max="4628" width="15.140625" style="45" customWidth="1"/>
    <col min="4629" max="4629" width="13.5703125" style="45" customWidth="1"/>
    <col min="4630" max="4630" width="13.140625" style="45" customWidth="1"/>
    <col min="4631" max="4631" width="15.7109375" style="45" customWidth="1"/>
    <col min="4632" max="4632" width="37.5703125" style="45" customWidth="1"/>
    <col min="4633" max="4854" width="11.42578125" style="45"/>
    <col min="4855" max="4855" width="10.5703125" style="45" customWidth="1"/>
    <col min="4856" max="4856" width="4.85546875" style="45" customWidth="1"/>
    <col min="4857" max="4857" width="32.42578125" style="45" customWidth="1"/>
    <col min="4858" max="4858" width="9.85546875" style="45" customWidth="1"/>
    <col min="4859" max="4859" width="10.140625" style="45" customWidth="1"/>
    <col min="4860" max="4860" width="12.28515625" style="45" customWidth="1"/>
    <col min="4861" max="4861" width="15.42578125" style="45" customWidth="1"/>
    <col min="4862" max="4862" width="11.85546875" style="45" customWidth="1"/>
    <col min="4863" max="4863" width="13.28515625" style="45" customWidth="1"/>
    <col min="4864" max="4864" width="15.28515625" style="45" customWidth="1"/>
    <col min="4865" max="4865" width="11.85546875" style="45" customWidth="1"/>
    <col min="4866" max="4866" width="6.140625" style="45" customWidth="1"/>
    <col min="4867" max="4867" width="11.85546875" style="45" customWidth="1"/>
    <col min="4868" max="4868" width="9.42578125" style="45" customWidth="1"/>
    <col min="4869" max="4869" width="14.7109375" style="45" customWidth="1"/>
    <col min="4870" max="4870" width="11.5703125" style="45" customWidth="1"/>
    <col min="4871" max="4871" width="0.42578125" style="45" customWidth="1"/>
    <col min="4872" max="4872" width="10.5703125" style="45" bestFit="1" customWidth="1"/>
    <col min="4873" max="4873" width="12.28515625" style="45" customWidth="1"/>
    <col min="4874" max="4874" width="12.5703125" style="45" customWidth="1"/>
    <col min="4875" max="4875" width="10.5703125" style="45" customWidth="1"/>
    <col min="4876" max="4876" width="10.140625" style="45" customWidth="1"/>
    <col min="4877" max="4877" width="8.42578125" style="45" customWidth="1"/>
    <col min="4878" max="4878" width="18.85546875" style="45" customWidth="1"/>
    <col min="4879" max="4879" width="10.28515625" style="45" customWidth="1"/>
    <col min="4880" max="4880" width="11.42578125" style="45"/>
    <col min="4881" max="4881" width="12.140625" style="45" customWidth="1"/>
    <col min="4882" max="4882" width="10.5703125" style="45" customWidth="1"/>
    <col min="4883" max="4883" width="12.42578125" style="45" customWidth="1"/>
    <col min="4884" max="4884" width="15.140625" style="45" customWidth="1"/>
    <col min="4885" max="4885" width="13.5703125" style="45" customWidth="1"/>
    <col min="4886" max="4886" width="13.140625" style="45" customWidth="1"/>
    <col min="4887" max="4887" width="15.7109375" style="45" customWidth="1"/>
    <col min="4888" max="4888" width="37.5703125" style="45" customWidth="1"/>
    <col min="4889" max="5110" width="11.42578125" style="45"/>
    <col min="5111" max="5111" width="10.5703125" style="45" customWidth="1"/>
    <col min="5112" max="5112" width="4.85546875" style="45" customWidth="1"/>
    <col min="5113" max="5113" width="32.42578125" style="45" customWidth="1"/>
    <col min="5114" max="5114" width="9.85546875" style="45" customWidth="1"/>
    <col min="5115" max="5115" width="10.140625" style="45" customWidth="1"/>
    <col min="5116" max="5116" width="12.28515625" style="45" customWidth="1"/>
    <col min="5117" max="5117" width="15.42578125" style="45" customWidth="1"/>
    <col min="5118" max="5118" width="11.85546875" style="45" customWidth="1"/>
    <col min="5119" max="5119" width="13.28515625" style="45" customWidth="1"/>
    <col min="5120" max="5120" width="15.28515625" style="45" customWidth="1"/>
    <col min="5121" max="5121" width="11.85546875" style="45" customWidth="1"/>
    <col min="5122" max="5122" width="6.140625" style="45" customWidth="1"/>
    <col min="5123" max="5123" width="11.85546875" style="45" customWidth="1"/>
    <col min="5124" max="5124" width="9.42578125" style="45" customWidth="1"/>
    <col min="5125" max="5125" width="14.7109375" style="45" customWidth="1"/>
    <col min="5126" max="5126" width="11.5703125" style="45" customWidth="1"/>
    <col min="5127" max="5127" width="0.42578125" style="45" customWidth="1"/>
    <col min="5128" max="5128" width="10.5703125" style="45" bestFit="1" customWidth="1"/>
    <col min="5129" max="5129" width="12.28515625" style="45" customWidth="1"/>
    <col min="5130" max="5130" width="12.5703125" style="45" customWidth="1"/>
    <col min="5131" max="5131" width="10.5703125" style="45" customWidth="1"/>
    <col min="5132" max="5132" width="10.140625" style="45" customWidth="1"/>
    <col min="5133" max="5133" width="8.42578125" style="45" customWidth="1"/>
    <col min="5134" max="5134" width="18.85546875" style="45" customWidth="1"/>
    <col min="5135" max="5135" width="10.28515625" style="45" customWidth="1"/>
    <col min="5136" max="5136" width="11.42578125" style="45"/>
    <col min="5137" max="5137" width="12.140625" style="45" customWidth="1"/>
    <col min="5138" max="5138" width="10.5703125" style="45" customWidth="1"/>
    <col min="5139" max="5139" width="12.42578125" style="45" customWidth="1"/>
    <col min="5140" max="5140" width="15.140625" style="45" customWidth="1"/>
    <col min="5141" max="5141" width="13.5703125" style="45" customWidth="1"/>
    <col min="5142" max="5142" width="13.140625" style="45" customWidth="1"/>
    <col min="5143" max="5143" width="15.7109375" style="45" customWidth="1"/>
    <col min="5144" max="5144" width="37.5703125" style="45" customWidth="1"/>
    <col min="5145" max="5366" width="11.42578125" style="45"/>
    <col min="5367" max="5367" width="10.5703125" style="45" customWidth="1"/>
    <col min="5368" max="5368" width="4.85546875" style="45" customWidth="1"/>
    <col min="5369" max="5369" width="32.42578125" style="45" customWidth="1"/>
    <col min="5370" max="5370" width="9.85546875" style="45" customWidth="1"/>
    <col min="5371" max="5371" width="10.140625" style="45" customWidth="1"/>
    <col min="5372" max="5372" width="12.28515625" style="45" customWidth="1"/>
    <col min="5373" max="5373" width="15.42578125" style="45" customWidth="1"/>
    <col min="5374" max="5374" width="11.85546875" style="45" customWidth="1"/>
    <col min="5375" max="5375" width="13.28515625" style="45" customWidth="1"/>
    <col min="5376" max="5376" width="15.28515625" style="45" customWidth="1"/>
    <col min="5377" max="5377" width="11.85546875" style="45" customWidth="1"/>
    <col min="5378" max="5378" width="6.140625" style="45" customWidth="1"/>
    <col min="5379" max="5379" width="11.85546875" style="45" customWidth="1"/>
    <col min="5380" max="5380" width="9.42578125" style="45" customWidth="1"/>
    <col min="5381" max="5381" width="14.7109375" style="45" customWidth="1"/>
    <col min="5382" max="5382" width="11.5703125" style="45" customWidth="1"/>
    <col min="5383" max="5383" width="0.42578125" style="45" customWidth="1"/>
    <col min="5384" max="5384" width="10.5703125" style="45" bestFit="1" customWidth="1"/>
    <col min="5385" max="5385" width="12.28515625" style="45" customWidth="1"/>
    <col min="5386" max="5386" width="12.5703125" style="45" customWidth="1"/>
    <col min="5387" max="5387" width="10.5703125" style="45" customWidth="1"/>
    <col min="5388" max="5388" width="10.140625" style="45" customWidth="1"/>
    <col min="5389" max="5389" width="8.42578125" style="45" customWidth="1"/>
    <col min="5390" max="5390" width="18.85546875" style="45" customWidth="1"/>
    <col min="5391" max="5391" width="10.28515625" style="45" customWidth="1"/>
    <col min="5392" max="5392" width="11.42578125" style="45"/>
    <col min="5393" max="5393" width="12.140625" style="45" customWidth="1"/>
    <col min="5394" max="5394" width="10.5703125" style="45" customWidth="1"/>
    <col min="5395" max="5395" width="12.42578125" style="45" customWidth="1"/>
    <col min="5396" max="5396" width="15.140625" style="45" customWidth="1"/>
    <col min="5397" max="5397" width="13.5703125" style="45" customWidth="1"/>
    <col min="5398" max="5398" width="13.140625" style="45" customWidth="1"/>
    <col min="5399" max="5399" width="15.7109375" style="45" customWidth="1"/>
    <col min="5400" max="5400" width="37.5703125" style="45" customWidth="1"/>
    <col min="5401" max="5622" width="11.42578125" style="45"/>
    <col min="5623" max="5623" width="10.5703125" style="45" customWidth="1"/>
    <col min="5624" max="5624" width="4.85546875" style="45" customWidth="1"/>
    <col min="5625" max="5625" width="32.42578125" style="45" customWidth="1"/>
    <col min="5626" max="5626" width="9.85546875" style="45" customWidth="1"/>
    <col min="5627" max="5627" width="10.140625" style="45" customWidth="1"/>
    <col min="5628" max="5628" width="12.28515625" style="45" customWidth="1"/>
    <col min="5629" max="5629" width="15.42578125" style="45" customWidth="1"/>
    <col min="5630" max="5630" width="11.85546875" style="45" customWidth="1"/>
    <col min="5631" max="5631" width="13.28515625" style="45" customWidth="1"/>
    <col min="5632" max="5632" width="15.28515625" style="45" customWidth="1"/>
    <col min="5633" max="5633" width="11.85546875" style="45" customWidth="1"/>
    <col min="5634" max="5634" width="6.140625" style="45" customWidth="1"/>
    <col min="5635" max="5635" width="11.85546875" style="45" customWidth="1"/>
    <col min="5636" max="5636" width="9.42578125" style="45" customWidth="1"/>
    <col min="5637" max="5637" width="14.7109375" style="45" customWidth="1"/>
    <col min="5638" max="5638" width="11.5703125" style="45" customWidth="1"/>
    <col min="5639" max="5639" width="0.42578125" style="45" customWidth="1"/>
    <col min="5640" max="5640" width="10.5703125" style="45" bestFit="1" customWidth="1"/>
    <col min="5641" max="5641" width="12.28515625" style="45" customWidth="1"/>
    <col min="5642" max="5642" width="12.5703125" style="45" customWidth="1"/>
    <col min="5643" max="5643" width="10.5703125" style="45" customWidth="1"/>
    <col min="5644" max="5644" width="10.140625" style="45" customWidth="1"/>
    <col min="5645" max="5645" width="8.42578125" style="45" customWidth="1"/>
    <col min="5646" max="5646" width="18.85546875" style="45" customWidth="1"/>
    <col min="5647" max="5647" width="10.28515625" style="45" customWidth="1"/>
    <col min="5648" max="5648" width="11.42578125" style="45"/>
    <col min="5649" max="5649" width="12.140625" style="45" customWidth="1"/>
    <col min="5650" max="5650" width="10.5703125" style="45" customWidth="1"/>
    <col min="5651" max="5651" width="12.42578125" style="45" customWidth="1"/>
    <col min="5652" max="5652" width="15.140625" style="45" customWidth="1"/>
    <col min="5653" max="5653" width="13.5703125" style="45" customWidth="1"/>
    <col min="5654" max="5654" width="13.140625" style="45" customWidth="1"/>
    <col min="5655" max="5655" width="15.7109375" style="45" customWidth="1"/>
    <col min="5656" max="5656" width="37.5703125" style="45" customWidth="1"/>
    <col min="5657" max="5878" width="11.42578125" style="45"/>
    <col min="5879" max="5879" width="10.5703125" style="45" customWidth="1"/>
    <col min="5880" max="5880" width="4.85546875" style="45" customWidth="1"/>
    <col min="5881" max="5881" width="32.42578125" style="45" customWidth="1"/>
    <col min="5882" max="5882" width="9.85546875" style="45" customWidth="1"/>
    <col min="5883" max="5883" width="10.140625" style="45" customWidth="1"/>
    <col min="5884" max="5884" width="12.28515625" style="45" customWidth="1"/>
    <col min="5885" max="5885" width="15.42578125" style="45" customWidth="1"/>
    <col min="5886" max="5886" width="11.85546875" style="45" customWidth="1"/>
    <col min="5887" max="5887" width="13.28515625" style="45" customWidth="1"/>
    <col min="5888" max="5888" width="15.28515625" style="45" customWidth="1"/>
    <col min="5889" max="5889" width="11.85546875" style="45" customWidth="1"/>
    <col min="5890" max="5890" width="6.140625" style="45" customWidth="1"/>
    <col min="5891" max="5891" width="11.85546875" style="45" customWidth="1"/>
    <col min="5892" max="5892" width="9.42578125" style="45" customWidth="1"/>
    <col min="5893" max="5893" width="14.7109375" style="45" customWidth="1"/>
    <col min="5894" max="5894" width="11.5703125" style="45" customWidth="1"/>
    <col min="5895" max="5895" width="0.42578125" style="45" customWidth="1"/>
    <col min="5896" max="5896" width="10.5703125" style="45" bestFit="1" customWidth="1"/>
    <col min="5897" max="5897" width="12.28515625" style="45" customWidth="1"/>
    <col min="5898" max="5898" width="12.5703125" style="45" customWidth="1"/>
    <col min="5899" max="5899" width="10.5703125" style="45" customWidth="1"/>
    <col min="5900" max="5900" width="10.140625" style="45" customWidth="1"/>
    <col min="5901" max="5901" width="8.42578125" style="45" customWidth="1"/>
    <col min="5902" max="5902" width="18.85546875" style="45" customWidth="1"/>
    <col min="5903" max="5903" width="10.28515625" style="45" customWidth="1"/>
    <col min="5904" max="5904" width="11.42578125" style="45"/>
    <col min="5905" max="5905" width="12.140625" style="45" customWidth="1"/>
    <col min="5906" max="5906" width="10.5703125" style="45" customWidth="1"/>
    <col min="5907" max="5907" width="12.42578125" style="45" customWidth="1"/>
    <col min="5908" max="5908" width="15.140625" style="45" customWidth="1"/>
    <col min="5909" max="5909" width="13.5703125" style="45" customWidth="1"/>
    <col min="5910" max="5910" width="13.140625" style="45" customWidth="1"/>
    <col min="5911" max="5911" width="15.7109375" style="45" customWidth="1"/>
    <col min="5912" max="5912" width="37.5703125" style="45" customWidth="1"/>
    <col min="5913" max="6134" width="11.42578125" style="45"/>
    <col min="6135" max="6135" width="10.5703125" style="45" customWidth="1"/>
    <col min="6136" max="6136" width="4.85546875" style="45" customWidth="1"/>
    <col min="6137" max="6137" width="32.42578125" style="45" customWidth="1"/>
    <col min="6138" max="6138" width="9.85546875" style="45" customWidth="1"/>
    <col min="6139" max="6139" width="10.140625" style="45" customWidth="1"/>
    <col min="6140" max="6140" width="12.28515625" style="45" customWidth="1"/>
    <col min="6141" max="6141" width="15.42578125" style="45" customWidth="1"/>
    <col min="6142" max="6142" width="11.85546875" style="45" customWidth="1"/>
    <col min="6143" max="6143" width="13.28515625" style="45" customWidth="1"/>
    <col min="6144" max="6144" width="15.28515625" style="45" customWidth="1"/>
    <col min="6145" max="6145" width="11.85546875" style="45" customWidth="1"/>
    <col min="6146" max="6146" width="6.140625" style="45" customWidth="1"/>
    <col min="6147" max="6147" width="11.85546875" style="45" customWidth="1"/>
    <col min="6148" max="6148" width="9.42578125" style="45" customWidth="1"/>
    <col min="6149" max="6149" width="14.7109375" style="45" customWidth="1"/>
    <col min="6150" max="6150" width="11.5703125" style="45" customWidth="1"/>
    <col min="6151" max="6151" width="0.42578125" style="45" customWidth="1"/>
    <col min="6152" max="6152" width="10.5703125" style="45" bestFit="1" customWidth="1"/>
    <col min="6153" max="6153" width="12.28515625" style="45" customWidth="1"/>
    <col min="6154" max="6154" width="12.5703125" style="45" customWidth="1"/>
    <col min="6155" max="6155" width="10.5703125" style="45" customWidth="1"/>
    <col min="6156" max="6156" width="10.140625" style="45" customWidth="1"/>
    <col min="6157" max="6157" width="8.42578125" style="45" customWidth="1"/>
    <col min="6158" max="6158" width="18.85546875" style="45" customWidth="1"/>
    <col min="6159" max="6159" width="10.28515625" style="45" customWidth="1"/>
    <col min="6160" max="6160" width="11.42578125" style="45"/>
    <col min="6161" max="6161" width="12.140625" style="45" customWidth="1"/>
    <col min="6162" max="6162" width="10.5703125" style="45" customWidth="1"/>
    <col min="6163" max="6163" width="12.42578125" style="45" customWidth="1"/>
    <col min="6164" max="6164" width="15.140625" style="45" customWidth="1"/>
    <col min="6165" max="6165" width="13.5703125" style="45" customWidth="1"/>
    <col min="6166" max="6166" width="13.140625" style="45" customWidth="1"/>
    <col min="6167" max="6167" width="15.7109375" style="45" customWidth="1"/>
    <col min="6168" max="6168" width="37.5703125" style="45" customWidth="1"/>
    <col min="6169" max="6390" width="11.42578125" style="45"/>
    <col min="6391" max="6391" width="10.5703125" style="45" customWidth="1"/>
    <col min="6392" max="6392" width="4.85546875" style="45" customWidth="1"/>
    <col min="6393" max="6393" width="32.42578125" style="45" customWidth="1"/>
    <col min="6394" max="6394" width="9.85546875" style="45" customWidth="1"/>
    <col min="6395" max="6395" width="10.140625" style="45" customWidth="1"/>
    <col min="6396" max="6396" width="12.28515625" style="45" customWidth="1"/>
    <col min="6397" max="6397" width="15.42578125" style="45" customWidth="1"/>
    <col min="6398" max="6398" width="11.85546875" style="45" customWidth="1"/>
    <col min="6399" max="6399" width="13.28515625" style="45" customWidth="1"/>
    <col min="6400" max="6400" width="15.28515625" style="45" customWidth="1"/>
    <col min="6401" max="6401" width="11.85546875" style="45" customWidth="1"/>
    <col min="6402" max="6402" width="6.140625" style="45" customWidth="1"/>
    <col min="6403" max="6403" width="11.85546875" style="45" customWidth="1"/>
    <col min="6404" max="6404" width="9.42578125" style="45" customWidth="1"/>
    <col min="6405" max="6405" width="14.7109375" style="45" customWidth="1"/>
    <col min="6406" max="6406" width="11.5703125" style="45" customWidth="1"/>
    <col min="6407" max="6407" width="0.42578125" style="45" customWidth="1"/>
    <col min="6408" max="6408" width="10.5703125" style="45" bestFit="1" customWidth="1"/>
    <col min="6409" max="6409" width="12.28515625" style="45" customWidth="1"/>
    <col min="6410" max="6410" width="12.5703125" style="45" customWidth="1"/>
    <col min="6411" max="6411" width="10.5703125" style="45" customWidth="1"/>
    <col min="6412" max="6412" width="10.140625" style="45" customWidth="1"/>
    <col min="6413" max="6413" width="8.42578125" style="45" customWidth="1"/>
    <col min="6414" max="6414" width="18.85546875" style="45" customWidth="1"/>
    <col min="6415" max="6415" width="10.28515625" style="45" customWidth="1"/>
    <col min="6416" max="6416" width="11.42578125" style="45"/>
    <col min="6417" max="6417" width="12.140625" style="45" customWidth="1"/>
    <col min="6418" max="6418" width="10.5703125" style="45" customWidth="1"/>
    <col min="6419" max="6419" width="12.42578125" style="45" customWidth="1"/>
    <col min="6420" max="6420" width="15.140625" style="45" customWidth="1"/>
    <col min="6421" max="6421" width="13.5703125" style="45" customWidth="1"/>
    <col min="6422" max="6422" width="13.140625" style="45" customWidth="1"/>
    <col min="6423" max="6423" width="15.7109375" style="45" customWidth="1"/>
    <col min="6424" max="6424" width="37.5703125" style="45" customWidth="1"/>
    <col min="6425" max="6646" width="11.42578125" style="45"/>
    <col min="6647" max="6647" width="10.5703125" style="45" customWidth="1"/>
    <col min="6648" max="6648" width="4.85546875" style="45" customWidth="1"/>
    <col min="6649" max="6649" width="32.42578125" style="45" customWidth="1"/>
    <col min="6650" max="6650" width="9.85546875" style="45" customWidth="1"/>
    <col min="6651" max="6651" width="10.140625" style="45" customWidth="1"/>
    <col min="6652" max="6652" width="12.28515625" style="45" customWidth="1"/>
    <col min="6653" max="6653" width="15.42578125" style="45" customWidth="1"/>
    <col min="6654" max="6654" width="11.85546875" style="45" customWidth="1"/>
    <col min="6655" max="6655" width="13.28515625" style="45" customWidth="1"/>
    <col min="6656" max="6656" width="15.28515625" style="45" customWidth="1"/>
    <col min="6657" max="6657" width="11.85546875" style="45" customWidth="1"/>
    <col min="6658" max="6658" width="6.140625" style="45" customWidth="1"/>
    <col min="6659" max="6659" width="11.85546875" style="45" customWidth="1"/>
    <col min="6660" max="6660" width="9.42578125" style="45" customWidth="1"/>
    <col min="6661" max="6661" width="14.7109375" style="45" customWidth="1"/>
    <col min="6662" max="6662" width="11.5703125" style="45" customWidth="1"/>
    <col min="6663" max="6663" width="0.42578125" style="45" customWidth="1"/>
    <col min="6664" max="6664" width="10.5703125" style="45" bestFit="1" customWidth="1"/>
    <col min="6665" max="6665" width="12.28515625" style="45" customWidth="1"/>
    <col min="6666" max="6666" width="12.5703125" style="45" customWidth="1"/>
    <col min="6667" max="6667" width="10.5703125" style="45" customWidth="1"/>
    <col min="6668" max="6668" width="10.140625" style="45" customWidth="1"/>
    <col min="6669" max="6669" width="8.42578125" style="45" customWidth="1"/>
    <col min="6670" max="6670" width="18.85546875" style="45" customWidth="1"/>
    <col min="6671" max="6671" width="10.28515625" style="45" customWidth="1"/>
    <col min="6672" max="6672" width="11.42578125" style="45"/>
    <col min="6673" max="6673" width="12.140625" style="45" customWidth="1"/>
    <col min="6674" max="6674" width="10.5703125" style="45" customWidth="1"/>
    <col min="6675" max="6675" width="12.42578125" style="45" customWidth="1"/>
    <col min="6676" max="6676" width="15.140625" style="45" customWidth="1"/>
    <col min="6677" max="6677" width="13.5703125" style="45" customWidth="1"/>
    <col min="6678" max="6678" width="13.140625" style="45" customWidth="1"/>
    <col min="6679" max="6679" width="15.7109375" style="45" customWidth="1"/>
    <col min="6680" max="6680" width="37.5703125" style="45" customWidth="1"/>
    <col min="6681" max="6902" width="11.42578125" style="45"/>
    <col min="6903" max="6903" width="10.5703125" style="45" customWidth="1"/>
    <col min="6904" max="6904" width="4.85546875" style="45" customWidth="1"/>
    <col min="6905" max="6905" width="32.42578125" style="45" customWidth="1"/>
    <col min="6906" max="6906" width="9.85546875" style="45" customWidth="1"/>
    <col min="6907" max="6907" width="10.140625" style="45" customWidth="1"/>
    <col min="6908" max="6908" width="12.28515625" style="45" customWidth="1"/>
    <col min="6909" max="6909" width="15.42578125" style="45" customWidth="1"/>
    <col min="6910" max="6910" width="11.85546875" style="45" customWidth="1"/>
    <col min="6911" max="6911" width="13.28515625" style="45" customWidth="1"/>
    <col min="6912" max="6912" width="15.28515625" style="45" customWidth="1"/>
    <col min="6913" max="6913" width="11.85546875" style="45" customWidth="1"/>
    <col min="6914" max="6914" width="6.140625" style="45" customWidth="1"/>
    <col min="6915" max="6915" width="11.85546875" style="45" customWidth="1"/>
    <col min="6916" max="6916" width="9.42578125" style="45" customWidth="1"/>
    <col min="6917" max="6917" width="14.7109375" style="45" customWidth="1"/>
    <col min="6918" max="6918" width="11.5703125" style="45" customWidth="1"/>
    <col min="6919" max="6919" width="0.42578125" style="45" customWidth="1"/>
    <col min="6920" max="6920" width="10.5703125" style="45" bestFit="1" customWidth="1"/>
    <col min="6921" max="6921" width="12.28515625" style="45" customWidth="1"/>
    <col min="6922" max="6922" width="12.5703125" style="45" customWidth="1"/>
    <col min="6923" max="6923" width="10.5703125" style="45" customWidth="1"/>
    <col min="6924" max="6924" width="10.140625" style="45" customWidth="1"/>
    <col min="6925" max="6925" width="8.42578125" style="45" customWidth="1"/>
    <col min="6926" max="6926" width="18.85546875" style="45" customWidth="1"/>
    <col min="6927" max="6927" width="10.28515625" style="45" customWidth="1"/>
    <col min="6928" max="6928" width="11.42578125" style="45"/>
    <col min="6929" max="6929" width="12.140625" style="45" customWidth="1"/>
    <col min="6930" max="6930" width="10.5703125" style="45" customWidth="1"/>
    <col min="6931" max="6931" width="12.42578125" style="45" customWidth="1"/>
    <col min="6932" max="6932" width="15.140625" style="45" customWidth="1"/>
    <col min="6933" max="6933" width="13.5703125" style="45" customWidth="1"/>
    <col min="6934" max="6934" width="13.140625" style="45" customWidth="1"/>
    <col min="6935" max="6935" width="15.7109375" style="45" customWidth="1"/>
    <col min="6936" max="6936" width="37.5703125" style="45" customWidth="1"/>
    <col min="6937" max="7158" width="11.42578125" style="45"/>
    <col min="7159" max="7159" width="10.5703125" style="45" customWidth="1"/>
    <col min="7160" max="7160" width="4.85546875" style="45" customWidth="1"/>
    <col min="7161" max="7161" width="32.42578125" style="45" customWidth="1"/>
    <col min="7162" max="7162" width="9.85546875" style="45" customWidth="1"/>
    <col min="7163" max="7163" width="10.140625" style="45" customWidth="1"/>
    <col min="7164" max="7164" width="12.28515625" style="45" customWidth="1"/>
    <col min="7165" max="7165" width="15.42578125" style="45" customWidth="1"/>
    <col min="7166" max="7166" width="11.85546875" style="45" customWidth="1"/>
    <col min="7167" max="7167" width="13.28515625" style="45" customWidth="1"/>
    <col min="7168" max="7168" width="15.28515625" style="45" customWidth="1"/>
    <col min="7169" max="7169" width="11.85546875" style="45" customWidth="1"/>
    <col min="7170" max="7170" width="6.140625" style="45" customWidth="1"/>
    <col min="7171" max="7171" width="11.85546875" style="45" customWidth="1"/>
    <col min="7172" max="7172" width="9.42578125" style="45" customWidth="1"/>
    <col min="7173" max="7173" width="14.7109375" style="45" customWidth="1"/>
    <col min="7174" max="7174" width="11.5703125" style="45" customWidth="1"/>
    <col min="7175" max="7175" width="0.42578125" style="45" customWidth="1"/>
    <col min="7176" max="7176" width="10.5703125" style="45" bestFit="1" customWidth="1"/>
    <col min="7177" max="7177" width="12.28515625" style="45" customWidth="1"/>
    <col min="7178" max="7178" width="12.5703125" style="45" customWidth="1"/>
    <col min="7179" max="7179" width="10.5703125" style="45" customWidth="1"/>
    <col min="7180" max="7180" width="10.140625" style="45" customWidth="1"/>
    <col min="7181" max="7181" width="8.42578125" style="45" customWidth="1"/>
    <col min="7182" max="7182" width="18.85546875" style="45" customWidth="1"/>
    <col min="7183" max="7183" width="10.28515625" style="45" customWidth="1"/>
    <col min="7184" max="7184" width="11.42578125" style="45"/>
    <col min="7185" max="7185" width="12.140625" style="45" customWidth="1"/>
    <col min="7186" max="7186" width="10.5703125" style="45" customWidth="1"/>
    <col min="7187" max="7187" width="12.42578125" style="45" customWidth="1"/>
    <col min="7188" max="7188" width="15.140625" style="45" customWidth="1"/>
    <col min="7189" max="7189" width="13.5703125" style="45" customWidth="1"/>
    <col min="7190" max="7190" width="13.140625" style="45" customWidth="1"/>
    <col min="7191" max="7191" width="15.7109375" style="45" customWidth="1"/>
    <col min="7192" max="7192" width="37.5703125" style="45" customWidth="1"/>
    <col min="7193" max="7414" width="11.42578125" style="45"/>
    <col min="7415" max="7415" width="10.5703125" style="45" customWidth="1"/>
    <col min="7416" max="7416" width="4.85546875" style="45" customWidth="1"/>
    <col min="7417" max="7417" width="32.42578125" style="45" customWidth="1"/>
    <col min="7418" max="7418" width="9.85546875" style="45" customWidth="1"/>
    <col min="7419" max="7419" width="10.140625" style="45" customWidth="1"/>
    <col min="7420" max="7420" width="12.28515625" style="45" customWidth="1"/>
    <col min="7421" max="7421" width="15.42578125" style="45" customWidth="1"/>
    <col min="7422" max="7422" width="11.85546875" style="45" customWidth="1"/>
    <col min="7423" max="7423" width="13.28515625" style="45" customWidth="1"/>
    <col min="7424" max="7424" width="15.28515625" style="45" customWidth="1"/>
    <col min="7425" max="7425" width="11.85546875" style="45" customWidth="1"/>
    <col min="7426" max="7426" width="6.140625" style="45" customWidth="1"/>
    <col min="7427" max="7427" width="11.85546875" style="45" customWidth="1"/>
    <col min="7428" max="7428" width="9.42578125" style="45" customWidth="1"/>
    <col min="7429" max="7429" width="14.7109375" style="45" customWidth="1"/>
    <col min="7430" max="7430" width="11.5703125" style="45" customWidth="1"/>
    <col min="7431" max="7431" width="0.42578125" style="45" customWidth="1"/>
    <col min="7432" max="7432" width="10.5703125" style="45" bestFit="1" customWidth="1"/>
    <col min="7433" max="7433" width="12.28515625" style="45" customWidth="1"/>
    <col min="7434" max="7434" width="12.5703125" style="45" customWidth="1"/>
    <col min="7435" max="7435" width="10.5703125" style="45" customWidth="1"/>
    <col min="7436" max="7436" width="10.140625" style="45" customWidth="1"/>
    <col min="7437" max="7437" width="8.42578125" style="45" customWidth="1"/>
    <col min="7438" max="7438" width="18.85546875" style="45" customWidth="1"/>
    <col min="7439" max="7439" width="10.28515625" style="45" customWidth="1"/>
    <col min="7440" max="7440" width="11.42578125" style="45"/>
    <col min="7441" max="7441" width="12.140625" style="45" customWidth="1"/>
    <col min="7442" max="7442" width="10.5703125" style="45" customWidth="1"/>
    <col min="7443" max="7443" width="12.42578125" style="45" customWidth="1"/>
    <col min="7444" max="7444" width="15.140625" style="45" customWidth="1"/>
    <col min="7445" max="7445" width="13.5703125" style="45" customWidth="1"/>
    <col min="7446" max="7446" width="13.140625" style="45" customWidth="1"/>
    <col min="7447" max="7447" width="15.7109375" style="45" customWidth="1"/>
    <col min="7448" max="7448" width="37.5703125" style="45" customWidth="1"/>
    <col min="7449" max="7670" width="11.42578125" style="45"/>
    <col min="7671" max="7671" width="10.5703125" style="45" customWidth="1"/>
    <col min="7672" max="7672" width="4.85546875" style="45" customWidth="1"/>
    <col min="7673" max="7673" width="32.42578125" style="45" customWidth="1"/>
    <col min="7674" max="7674" width="9.85546875" style="45" customWidth="1"/>
    <col min="7675" max="7675" width="10.140625" style="45" customWidth="1"/>
    <col min="7676" max="7676" width="12.28515625" style="45" customWidth="1"/>
    <col min="7677" max="7677" width="15.42578125" style="45" customWidth="1"/>
    <col min="7678" max="7678" width="11.85546875" style="45" customWidth="1"/>
    <col min="7679" max="7679" width="13.28515625" style="45" customWidth="1"/>
    <col min="7680" max="7680" width="15.28515625" style="45" customWidth="1"/>
    <col min="7681" max="7681" width="11.85546875" style="45" customWidth="1"/>
    <col min="7682" max="7682" width="6.140625" style="45" customWidth="1"/>
    <col min="7683" max="7683" width="11.85546875" style="45" customWidth="1"/>
    <col min="7684" max="7684" width="9.42578125" style="45" customWidth="1"/>
    <col min="7685" max="7685" width="14.7109375" style="45" customWidth="1"/>
    <col min="7686" max="7686" width="11.5703125" style="45" customWidth="1"/>
    <col min="7687" max="7687" width="0.42578125" style="45" customWidth="1"/>
    <col min="7688" max="7688" width="10.5703125" style="45" bestFit="1" customWidth="1"/>
    <col min="7689" max="7689" width="12.28515625" style="45" customWidth="1"/>
    <col min="7690" max="7690" width="12.5703125" style="45" customWidth="1"/>
    <col min="7691" max="7691" width="10.5703125" style="45" customWidth="1"/>
    <col min="7692" max="7692" width="10.140625" style="45" customWidth="1"/>
    <col min="7693" max="7693" width="8.42578125" style="45" customWidth="1"/>
    <col min="7694" max="7694" width="18.85546875" style="45" customWidth="1"/>
    <col min="7695" max="7695" width="10.28515625" style="45" customWidth="1"/>
    <col min="7696" max="7696" width="11.42578125" style="45"/>
    <col min="7697" max="7697" width="12.140625" style="45" customWidth="1"/>
    <col min="7698" max="7698" width="10.5703125" style="45" customWidth="1"/>
    <col min="7699" max="7699" width="12.42578125" style="45" customWidth="1"/>
    <col min="7700" max="7700" width="15.140625" style="45" customWidth="1"/>
    <col min="7701" max="7701" width="13.5703125" style="45" customWidth="1"/>
    <col min="7702" max="7702" width="13.140625" style="45" customWidth="1"/>
    <col min="7703" max="7703" width="15.7109375" style="45" customWidth="1"/>
    <col min="7704" max="7704" width="37.5703125" style="45" customWidth="1"/>
    <col min="7705" max="7926" width="11.42578125" style="45"/>
    <col min="7927" max="7927" width="10.5703125" style="45" customWidth="1"/>
    <col min="7928" max="7928" width="4.85546875" style="45" customWidth="1"/>
    <col min="7929" max="7929" width="32.42578125" style="45" customWidth="1"/>
    <col min="7930" max="7930" width="9.85546875" style="45" customWidth="1"/>
    <col min="7931" max="7931" width="10.140625" style="45" customWidth="1"/>
    <col min="7932" max="7932" width="12.28515625" style="45" customWidth="1"/>
    <col min="7933" max="7933" width="15.42578125" style="45" customWidth="1"/>
    <col min="7934" max="7934" width="11.85546875" style="45" customWidth="1"/>
    <col min="7935" max="7935" width="13.28515625" style="45" customWidth="1"/>
    <col min="7936" max="7936" width="15.28515625" style="45" customWidth="1"/>
    <col min="7937" max="7937" width="11.85546875" style="45" customWidth="1"/>
    <col min="7938" max="7938" width="6.140625" style="45" customWidth="1"/>
    <col min="7939" max="7939" width="11.85546875" style="45" customWidth="1"/>
    <col min="7940" max="7940" width="9.42578125" style="45" customWidth="1"/>
    <col min="7941" max="7941" width="14.7109375" style="45" customWidth="1"/>
    <col min="7942" max="7942" width="11.5703125" style="45" customWidth="1"/>
    <col min="7943" max="7943" width="0.42578125" style="45" customWidth="1"/>
    <col min="7944" max="7944" width="10.5703125" style="45" bestFit="1" customWidth="1"/>
    <col min="7945" max="7945" width="12.28515625" style="45" customWidth="1"/>
    <col min="7946" max="7946" width="12.5703125" style="45" customWidth="1"/>
    <col min="7947" max="7947" width="10.5703125" style="45" customWidth="1"/>
    <col min="7948" max="7948" width="10.140625" style="45" customWidth="1"/>
    <col min="7949" max="7949" width="8.42578125" style="45" customWidth="1"/>
    <col min="7950" max="7950" width="18.85546875" style="45" customWidth="1"/>
    <col min="7951" max="7951" width="10.28515625" style="45" customWidth="1"/>
    <col min="7952" max="7952" width="11.42578125" style="45"/>
    <col min="7953" max="7953" width="12.140625" style="45" customWidth="1"/>
    <col min="7954" max="7954" width="10.5703125" style="45" customWidth="1"/>
    <col min="7955" max="7955" width="12.42578125" style="45" customWidth="1"/>
    <col min="7956" max="7956" width="15.140625" style="45" customWidth="1"/>
    <col min="7957" max="7957" width="13.5703125" style="45" customWidth="1"/>
    <col min="7958" max="7958" width="13.140625" style="45" customWidth="1"/>
    <col min="7959" max="7959" width="15.7109375" style="45" customWidth="1"/>
    <col min="7960" max="7960" width="37.5703125" style="45" customWidth="1"/>
    <col min="7961" max="8182" width="11.42578125" style="45"/>
    <col min="8183" max="8183" width="10.5703125" style="45" customWidth="1"/>
    <col min="8184" max="8184" width="4.85546875" style="45" customWidth="1"/>
    <col min="8185" max="8185" width="32.42578125" style="45" customWidth="1"/>
    <col min="8186" max="8186" width="9.85546875" style="45" customWidth="1"/>
    <col min="8187" max="8187" width="10.140625" style="45" customWidth="1"/>
    <col min="8188" max="8188" width="12.28515625" style="45" customWidth="1"/>
    <col min="8189" max="8189" width="15.42578125" style="45" customWidth="1"/>
    <col min="8190" max="8190" width="11.85546875" style="45" customWidth="1"/>
    <col min="8191" max="8191" width="13.28515625" style="45" customWidth="1"/>
    <col min="8192" max="8192" width="15.28515625" style="45" customWidth="1"/>
    <col min="8193" max="8193" width="11.85546875" style="45" customWidth="1"/>
    <col min="8194" max="8194" width="6.140625" style="45" customWidth="1"/>
    <col min="8195" max="8195" width="11.85546875" style="45" customWidth="1"/>
    <col min="8196" max="8196" width="9.42578125" style="45" customWidth="1"/>
    <col min="8197" max="8197" width="14.7109375" style="45" customWidth="1"/>
    <col min="8198" max="8198" width="11.5703125" style="45" customWidth="1"/>
    <col min="8199" max="8199" width="0.42578125" style="45" customWidth="1"/>
    <col min="8200" max="8200" width="10.5703125" style="45" bestFit="1" customWidth="1"/>
    <col min="8201" max="8201" width="12.28515625" style="45" customWidth="1"/>
    <col min="8202" max="8202" width="12.5703125" style="45" customWidth="1"/>
    <col min="8203" max="8203" width="10.5703125" style="45" customWidth="1"/>
    <col min="8204" max="8204" width="10.140625" style="45" customWidth="1"/>
    <col min="8205" max="8205" width="8.42578125" style="45" customWidth="1"/>
    <col min="8206" max="8206" width="18.85546875" style="45" customWidth="1"/>
    <col min="8207" max="8207" width="10.28515625" style="45" customWidth="1"/>
    <col min="8208" max="8208" width="11.42578125" style="45"/>
    <col min="8209" max="8209" width="12.140625" style="45" customWidth="1"/>
    <col min="8210" max="8210" width="10.5703125" style="45" customWidth="1"/>
    <col min="8211" max="8211" width="12.42578125" style="45" customWidth="1"/>
    <col min="8212" max="8212" width="15.140625" style="45" customWidth="1"/>
    <col min="8213" max="8213" width="13.5703125" style="45" customWidth="1"/>
    <col min="8214" max="8214" width="13.140625" style="45" customWidth="1"/>
    <col min="8215" max="8215" width="15.7109375" style="45" customWidth="1"/>
    <col min="8216" max="8216" width="37.5703125" style="45" customWidth="1"/>
    <col min="8217" max="8438" width="11.42578125" style="45"/>
    <col min="8439" max="8439" width="10.5703125" style="45" customWidth="1"/>
    <col min="8440" max="8440" width="4.85546875" style="45" customWidth="1"/>
    <col min="8441" max="8441" width="32.42578125" style="45" customWidth="1"/>
    <col min="8442" max="8442" width="9.85546875" style="45" customWidth="1"/>
    <col min="8443" max="8443" width="10.140625" style="45" customWidth="1"/>
    <col min="8444" max="8444" width="12.28515625" style="45" customWidth="1"/>
    <col min="8445" max="8445" width="15.42578125" style="45" customWidth="1"/>
    <col min="8446" max="8446" width="11.85546875" style="45" customWidth="1"/>
    <col min="8447" max="8447" width="13.28515625" style="45" customWidth="1"/>
    <col min="8448" max="8448" width="15.28515625" style="45" customWidth="1"/>
    <col min="8449" max="8449" width="11.85546875" style="45" customWidth="1"/>
    <col min="8450" max="8450" width="6.140625" style="45" customWidth="1"/>
    <col min="8451" max="8451" width="11.85546875" style="45" customWidth="1"/>
    <col min="8452" max="8452" width="9.42578125" style="45" customWidth="1"/>
    <col min="8453" max="8453" width="14.7109375" style="45" customWidth="1"/>
    <col min="8454" max="8454" width="11.5703125" style="45" customWidth="1"/>
    <col min="8455" max="8455" width="0.42578125" style="45" customWidth="1"/>
    <col min="8456" max="8456" width="10.5703125" style="45" bestFit="1" customWidth="1"/>
    <col min="8457" max="8457" width="12.28515625" style="45" customWidth="1"/>
    <col min="8458" max="8458" width="12.5703125" style="45" customWidth="1"/>
    <col min="8459" max="8459" width="10.5703125" style="45" customWidth="1"/>
    <col min="8460" max="8460" width="10.140625" style="45" customWidth="1"/>
    <col min="8461" max="8461" width="8.42578125" style="45" customWidth="1"/>
    <col min="8462" max="8462" width="18.85546875" style="45" customWidth="1"/>
    <col min="8463" max="8463" width="10.28515625" style="45" customWidth="1"/>
    <col min="8464" max="8464" width="11.42578125" style="45"/>
    <col min="8465" max="8465" width="12.140625" style="45" customWidth="1"/>
    <col min="8466" max="8466" width="10.5703125" style="45" customWidth="1"/>
    <col min="8467" max="8467" width="12.42578125" style="45" customWidth="1"/>
    <col min="8468" max="8468" width="15.140625" style="45" customWidth="1"/>
    <col min="8469" max="8469" width="13.5703125" style="45" customWidth="1"/>
    <col min="8470" max="8470" width="13.140625" style="45" customWidth="1"/>
    <col min="8471" max="8471" width="15.7109375" style="45" customWidth="1"/>
    <col min="8472" max="8472" width="37.5703125" style="45" customWidth="1"/>
    <col min="8473" max="8694" width="11.42578125" style="45"/>
    <col min="8695" max="8695" width="10.5703125" style="45" customWidth="1"/>
    <col min="8696" max="8696" width="4.85546875" style="45" customWidth="1"/>
    <col min="8697" max="8697" width="32.42578125" style="45" customWidth="1"/>
    <col min="8698" max="8698" width="9.85546875" style="45" customWidth="1"/>
    <col min="8699" max="8699" width="10.140625" style="45" customWidth="1"/>
    <col min="8700" max="8700" width="12.28515625" style="45" customWidth="1"/>
    <col min="8701" max="8701" width="15.42578125" style="45" customWidth="1"/>
    <col min="8702" max="8702" width="11.85546875" style="45" customWidth="1"/>
    <col min="8703" max="8703" width="13.28515625" style="45" customWidth="1"/>
    <col min="8704" max="8704" width="15.28515625" style="45" customWidth="1"/>
    <col min="8705" max="8705" width="11.85546875" style="45" customWidth="1"/>
    <col min="8706" max="8706" width="6.140625" style="45" customWidth="1"/>
    <col min="8707" max="8707" width="11.85546875" style="45" customWidth="1"/>
    <col min="8708" max="8708" width="9.42578125" style="45" customWidth="1"/>
    <col min="8709" max="8709" width="14.7109375" style="45" customWidth="1"/>
    <col min="8710" max="8710" width="11.5703125" style="45" customWidth="1"/>
    <col min="8711" max="8711" width="0.42578125" style="45" customWidth="1"/>
    <col min="8712" max="8712" width="10.5703125" style="45" bestFit="1" customWidth="1"/>
    <col min="8713" max="8713" width="12.28515625" style="45" customWidth="1"/>
    <col min="8714" max="8714" width="12.5703125" style="45" customWidth="1"/>
    <col min="8715" max="8715" width="10.5703125" style="45" customWidth="1"/>
    <col min="8716" max="8716" width="10.140625" style="45" customWidth="1"/>
    <col min="8717" max="8717" width="8.42578125" style="45" customWidth="1"/>
    <col min="8718" max="8718" width="18.85546875" style="45" customWidth="1"/>
    <col min="8719" max="8719" width="10.28515625" style="45" customWidth="1"/>
    <col min="8720" max="8720" width="11.42578125" style="45"/>
    <col min="8721" max="8721" width="12.140625" style="45" customWidth="1"/>
    <col min="8722" max="8722" width="10.5703125" style="45" customWidth="1"/>
    <col min="8723" max="8723" width="12.42578125" style="45" customWidth="1"/>
    <col min="8724" max="8724" width="15.140625" style="45" customWidth="1"/>
    <col min="8725" max="8725" width="13.5703125" style="45" customWidth="1"/>
    <col min="8726" max="8726" width="13.140625" style="45" customWidth="1"/>
    <col min="8727" max="8727" width="15.7109375" style="45" customWidth="1"/>
    <col min="8728" max="8728" width="37.5703125" style="45" customWidth="1"/>
    <col min="8729" max="8950" width="11.42578125" style="45"/>
    <col min="8951" max="8951" width="10.5703125" style="45" customWidth="1"/>
    <col min="8952" max="8952" width="4.85546875" style="45" customWidth="1"/>
    <col min="8953" max="8953" width="32.42578125" style="45" customWidth="1"/>
    <col min="8954" max="8954" width="9.85546875" style="45" customWidth="1"/>
    <col min="8955" max="8955" width="10.140625" style="45" customWidth="1"/>
    <col min="8956" max="8956" width="12.28515625" style="45" customWidth="1"/>
    <col min="8957" max="8957" width="15.42578125" style="45" customWidth="1"/>
    <col min="8958" max="8958" width="11.85546875" style="45" customWidth="1"/>
    <col min="8959" max="8959" width="13.28515625" style="45" customWidth="1"/>
    <col min="8960" max="8960" width="15.28515625" style="45" customWidth="1"/>
    <col min="8961" max="8961" width="11.85546875" style="45" customWidth="1"/>
    <col min="8962" max="8962" width="6.140625" style="45" customWidth="1"/>
    <col min="8963" max="8963" width="11.85546875" style="45" customWidth="1"/>
    <col min="8964" max="8964" width="9.42578125" style="45" customWidth="1"/>
    <col min="8965" max="8965" width="14.7109375" style="45" customWidth="1"/>
    <col min="8966" max="8966" width="11.5703125" style="45" customWidth="1"/>
    <col min="8967" max="8967" width="0.42578125" style="45" customWidth="1"/>
    <col min="8968" max="8968" width="10.5703125" style="45" bestFit="1" customWidth="1"/>
    <col min="8969" max="8969" width="12.28515625" style="45" customWidth="1"/>
    <col min="8970" max="8970" width="12.5703125" style="45" customWidth="1"/>
    <col min="8971" max="8971" width="10.5703125" style="45" customWidth="1"/>
    <col min="8972" max="8972" width="10.140625" style="45" customWidth="1"/>
    <col min="8973" max="8973" width="8.42578125" style="45" customWidth="1"/>
    <col min="8974" max="8974" width="18.85546875" style="45" customWidth="1"/>
    <col min="8975" max="8975" width="10.28515625" style="45" customWidth="1"/>
    <col min="8976" max="8976" width="11.42578125" style="45"/>
    <col min="8977" max="8977" width="12.140625" style="45" customWidth="1"/>
    <col min="8978" max="8978" width="10.5703125" style="45" customWidth="1"/>
    <col min="8979" max="8979" width="12.42578125" style="45" customWidth="1"/>
    <col min="8980" max="8980" width="15.140625" style="45" customWidth="1"/>
    <col min="8981" max="8981" width="13.5703125" style="45" customWidth="1"/>
    <col min="8982" max="8982" width="13.140625" style="45" customWidth="1"/>
    <col min="8983" max="8983" width="15.7109375" style="45" customWidth="1"/>
    <col min="8984" max="8984" width="37.5703125" style="45" customWidth="1"/>
    <col min="8985" max="9206" width="11.42578125" style="45"/>
    <col min="9207" max="9207" width="10.5703125" style="45" customWidth="1"/>
    <col min="9208" max="9208" width="4.85546875" style="45" customWidth="1"/>
    <col min="9209" max="9209" width="32.42578125" style="45" customWidth="1"/>
    <col min="9210" max="9210" width="9.85546875" style="45" customWidth="1"/>
    <col min="9211" max="9211" width="10.140625" style="45" customWidth="1"/>
    <col min="9212" max="9212" width="12.28515625" style="45" customWidth="1"/>
    <col min="9213" max="9213" width="15.42578125" style="45" customWidth="1"/>
    <col min="9214" max="9214" width="11.85546875" style="45" customWidth="1"/>
    <col min="9215" max="9215" width="13.28515625" style="45" customWidth="1"/>
    <col min="9216" max="9216" width="15.28515625" style="45" customWidth="1"/>
    <col min="9217" max="9217" width="11.85546875" style="45" customWidth="1"/>
    <col min="9218" max="9218" width="6.140625" style="45" customWidth="1"/>
    <col min="9219" max="9219" width="11.85546875" style="45" customWidth="1"/>
    <col min="9220" max="9220" width="9.42578125" style="45" customWidth="1"/>
    <col min="9221" max="9221" width="14.7109375" style="45" customWidth="1"/>
    <col min="9222" max="9222" width="11.5703125" style="45" customWidth="1"/>
    <col min="9223" max="9223" width="0.42578125" style="45" customWidth="1"/>
    <col min="9224" max="9224" width="10.5703125" style="45" bestFit="1" customWidth="1"/>
    <col min="9225" max="9225" width="12.28515625" style="45" customWidth="1"/>
    <col min="9226" max="9226" width="12.5703125" style="45" customWidth="1"/>
    <col min="9227" max="9227" width="10.5703125" style="45" customWidth="1"/>
    <col min="9228" max="9228" width="10.140625" style="45" customWidth="1"/>
    <col min="9229" max="9229" width="8.42578125" style="45" customWidth="1"/>
    <col min="9230" max="9230" width="18.85546875" style="45" customWidth="1"/>
    <col min="9231" max="9231" width="10.28515625" style="45" customWidth="1"/>
    <col min="9232" max="9232" width="11.42578125" style="45"/>
    <col min="9233" max="9233" width="12.140625" style="45" customWidth="1"/>
    <col min="9234" max="9234" width="10.5703125" style="45" customWidth="1"/>
    <col min="9235" max="9235" width="12.42578125" style="45" customWidth="1"/>
    <col min="9236" max="9236" width="15.140625" style="45" customWidth="1"/>
    <col min="9237" max="9237" width="13.5703125" style="45" customWidth="1"/>
    <col min="9238" max="9238" width="13.140625" style="45" customWidth="1"/>
    <col min="9239" max="9239" width="15.7109375" style="45" customWidth="1"/>
    <col min="9240" max="9240" width="37.5703125" style="45" customWidth="1"/>
    <col min="9241" max="9462" width="11.42578125" style="45"/>
    <col min="9463" max="9463" width="10.5703125" style="45" customWidth="1"/>
    <col min="9464" max="9464" width="4.85546875" style="45" customWidth="1"/>
    <col min="9465" max="9465" width="32.42578125" style="45" customWidth="1"/>
    <col min="9466" max="9466" width="9.85546875" style="45" customWidth="1"/>
    <col min="9467" max="9467" width="10.140625" style="45" customWidth="1"/>
    <col min="9468" max="9468" width="12.28515625" style="45" customWidth="1"/>
    <col min="9469" max="9469" width="15.42578125" style="45" customWidth="1"/>
    <col min="9470" max="9470" width="11.85546875" style="45" customWidth="1"/>
    <col min="9471" max="9471" width="13.28515625" style="45" customWidth="1"/>
    <col min="9472" max="9472" width="15.28515625" style="45" customWidth="1"/>
    <col min="9473" max="9473" width="11.85546875" style="45" customWidth="1"/>
    <col min="9474" max="9474" width="6.140625" style="45" customWidth="1"/>
    <col min="9475" max="9475" width="11.85546875" style="45" customWidth="1"/>
    <col min="9476" max="9476" width="9.42578125" style="45" customWidth="1"/>
    <col min="9477" max="9477" width="14.7109375" style="45" customWidth="1"/>
    <col min="9478" max="9478" width="11.5703125" style="45" customWidth="1"/>
    <col min="9479" max="9479" width="0.42578125" style="45" customWidth="1"/>
    <col min="9480" max="9480" width="10.5703125" style="45" bestFit="1" customWidth="1"/>
    <col min="9481" max="9481" width="12.28515625" style="45" customWidth="1"/>
    <col min="9482" max="9482" width="12.5703125" style="45" customWidth="1"/>
    <col min="9483" max="9483" width="10.5703125" style="45" customWidth="1"/>
    <col min="9484" max="9484" width="10.140625" style="45" customWidth="1"/>
    <col min="9485" max="9485" width="8.42578125" style="45" customWidth="1"/>
    <col min="9486" max="9486" width="18.85546875" style="45" customWidth="1"/>
    <col min="9487" max="9487" width="10.28515625" style="45" customWidth="1"/>
    <col min="9488" max="9488" width="11.42578125" style="45"/>
    <col min="9489" max="9489" width="12.140625" style="45" customWidth="1"/>
    <col min="9490" max="9490" width="10.5703125" style="45" customWidth="1"/>
    <col min="9491" max="9491" width="12.42578125" style="45" customWidth="1"/>
    <col min="9492" max="9492" width="15.140625" style="45" customWidth="1"/>
    <col min="9493" max="9493" width="13.5703125" style="45" customWidth="1"/>
    <col min="9494" max="9494" width="13.140625" style="45" customWidth="1"/>
    <col min="9495" max="9495" width="15.7109375" style="45" customWidth="1"/>
    <col min="9496" max="9496" width="37.5703125" style="45" customWidth="1"/>
    <col min="9497" max="9718" width="11.42578125" style="45"/>
    <col min="9719" max="9719" width="10.5703125" style="45" customWidth="1"/>
    <col min="9720" max="9720" width="4.85546875" style="45" customWidth="1"/>
    <col min="9721" max="9721" width="32.42578125" style="45" customWidth="1"/>
    <col min="9722" max="9722" width="9.85546875" style="45" customWidth="1"/>
    <col min="9723" max="9723" width="10.140625" style="45" customWidth="1"/>
    <col min="9724" max="9724" width="12.28515625" style="45" customWidth="1"/>
    <col min="9725" max="9725" width="15.42578125" style="45" customWidth="1"/>
    <col min="9726" max="9726" width="11.85546875" style="45" customWidth="1"/>
    <col min="9727" max="9727" width="13.28515625" style="45" customWidth="1"/>
    <col min="9728" max="9728" width="15.28515625" style="45" customWidth="1"/>
    <col min="9729" max="9729" width="11.85546875" style="45" customWidth="1"/>
    <col min="9730" max="9730" width="6.140625" style="45" customWidth="1"/>
    <col min="9731" max="9731" width="11.85546875" style="45" customWidth="1"/>
    <col min="9732" max="9732" width="9.42578125" style="45" customWidth="1"/>
    <col min="9733" max="9733" width="14.7109375" style="45" customWidth="1"/>
    <col min="9734" max="9734" width="11.5703125" style="45" customWidth="1"/>
    <col min="9735" max="9735" width="0.42578125" style="45" customWidth="1"/>
    <col min="9736" max="9736" width="10.5703125" style="45" bestFit="1" customWidth="1"/>
    <col min="9737" max="9737" width="12.28515625" style="45" customWidth="1"/>
    <col min="9738" max="9738" width="12.5703125" style="45" customWidth="1"/>
    <col min="9739" max="9739" width="10.5703125" style="45" customWidth="1"/>
    <col min="9740" max="9740" width="10.140625" style="45" customWidth="1"/>
    <col min="9741" max="9741" width="8.42578125" style="45" customWidth="1"/>
    <col min="9742" max="9742" width="18.85546875" style="45" customWidth="1"/>
    <col min="9743" max="9743" width="10.28515625" style="45" customWidth="1"/>
    <col min="9744" max="9744" width="11.42578125" style="45"/>
    <col min="9745" max="9745" width="12.140625" style="45" customWidth="1"/>
    <col min="9746" max="9746" width="10.5703125" style="45" customWidth="1"/>
    <col min="9747" max="9747" width="12.42578125" style="45" customWidth="1"/>
    <col min="9748" max="9748" width="15.140625" style="45" customWidth="1"/>
    <col min="9749" max="9749" width="13.5703125" style="45" customWidth="1"/>
    <col min="9750" max="9750" width="13.140625" style="45" customWidth="1"/>
    <col min="9751" max="9751" width="15.7109375" style="45" customWidth="1"/>
    <col min="9752" max="9752" width="37.5703125" style="45" customWidth="1"/>
    <col min="9753" max="9974" width="11.42578125" style="45"/>
    <col min="9975" max="9975" width="10.5703125" style="45" customWidth="1"/>
    <col min="9976" max="9976" width="4.85546875" style="45" customWidth="1"/>
    <col min="9977" max="9977" width="32.42578125" style="45" customWidth="1"/>
    <col min="9978" max="9978" width="9.85546875" style="45" customWidth="1"/>
    <col min="9979" max="9979" width="10.140625" style="45" customWidth="1"/>
    <col min="9980" max="9980" width="12.28515625" style="45" customWidth="1"/>
    <col min="9981" max="9981" width="15.42578125" style="45" customWidth="1"/>
    <col min="9982" max="9982" width="11.85546875" style="45" customWidth="1"/>
    <col min="9983" max="9983" width="13.28515625" style="45" customWidth="1"/>
    <col min="9984" max="9984" width="15.28515625" style="45" customWidth="1"/>
    <col min="9985" max="9985" width="11.85546875" style="45" customWidth="1"/>
    <col min="9986" max="9986" width="6.140625" style="45" customWidth="1"/>
    <col min="9987" max="9987" width="11.85546875" style="45" customWidth="1"/>
    <col min="9988" max="9988" width="9.42578125" style="45" customWidth="1"/>
    <col min="9989" max="9989" width="14.7109375" style="45" customWidth="1"/>
    <col min="9990" max="9990" width="11.5703125" style="45" customWidth="1"/>
    <col min="9991" max="9991" width="0.42578125" style="45" customWidth="1"/>
    <col min="9992" max="9992" width="10.5703125" style="45" bestFit="1" customWidth="1"/>
    <col min="9993" max="9993" width="12.28515625" style="45" customWidth="1"/>
    <col min="9994" max="9994" width="12.5703125" style="45" customWidth="1"/>
    <col min="9995" max="9995" width="10.5703125" style="45" customWidth="1"/>
    <col min="9996" max="9996" width="10.140625" style="45" customWidth="1"/>
    <col min="9997" max="9997" width="8.42578125" style="45" customWidth="1"/>
    <col min="9998" max="9998" width="18.85546875" style="45" customWidth="1"/>
    <col min="9999" max="9999" width="10.28515625" style="45" customWidth="1"/>
    <col min="10000" max="10000" width="11.42578125" style="45"/>
    <col min="10001" max="10001" width="12.140625" style="45" customWidth="1"/>
    <col min="10002" max="10002" width="10.5703125" style="45" customWidth="1"/>
    <col min="10003" max="10003" width="12.42578125" style="45" customWidth="1"/>
    <col min="10004" max="10004" width="15.140625" style="45" customWidth="1"/>
    <col min="10005" max="10005" width="13.5703125" style="45" customWidth="1"/>
    <col min="10006" max="10006" width="13.140625" style="45" customWidth="1"/>
    <col min="10007" max="10007" width="15.7109375" style="45" customWidth="1"/>
    <col min="10008" max="10008" width="37.5703125" style="45" customWidth="1"/>
    <col min="10009" max="10230" width="11.42578125" style="45"/>
    <col min="10231" max="10231" width="10.5703125" style="45" customWidth="1"/>
    <col min="10232" max="10232" width="4.85546875" style="45" customWidth="1"/>
    <col min="10233" max="10233" width="32.42578125" style="45" customWidth="1"/>
    <col min="10234" max="10234" width="9.85546875" style="45" customWidth="1"/>
    <col min="10235" max="10235" width="10.140625" style="45" customWidth="1"/>
    <col min="10236" max="10236" width="12.28515625" style="45" customWidth="1"/>
    <col min="10237" max="10237" width="15.42578125" style="45" customWidth="1"/>
    <col min="10238" max="10238" width="11.85546875" style="45" customWidth="1"/>
    <col min="10239" max="10239" width="13.28515625" style="45" customWidth="1"/>
    <col min="10240" max="10240" width="15.28515625" style="45" customWidth="1"/>
    <col min="10241" max="10241" width="11.85546875" style="45" customWidth="1"/>
    <col min="10242" max="10242" width="6.140625" style="45" customWidth="1"/>
    <col min="10243" max="10243" width="11.85546875" style="45" customWidth="1"/>
    <col min="10244" max="10244" width="9.42578125" style="45" customWidth="1"/>
    <col min="10245" max="10245" width="14.7109375" style="45" customWidth="1"/>
    <col min="10246" max="10246" width="11.5703125" style="45" customWidth="1"/>
    <col min="10247" max="10247" width="0.42578125" style="45" customWidth="1"/>
    <col min="10248" max="10248" width="10.5703125" style="45" bestFit="1" customWidth="1"/>
    <col min="10249" max="10249" width="12.28515625" style="45" customWidth="1"/>
    <col min="10250" max="10250" width="12.5703125" style="45" customWidth="1"/>
    <col min="10251" max="10251" width="10.5703125" style="45" customWidth="1"/>
    <col min="10252" max="10252" width="10.140625" style="45" customWidth="1"/>
    <col min="10253" max="10253" width="8.42578125" style="45" customWidth="1"/>
    <col min="10254" max="10254" width="18.85546875" style="45" customWidth="1"/>
    <col min="10255" max="10255" width="10.28515625" style="45" customWidth="1"/>
    <col min="10256" max="10256" width="11.42578125" style="45"/>
    <col min="10257" max="10257" width="12.140625" style="45" customWidth="1"/>
    <col min="10258" max="10258" width="10.5703125" style="45" customWidth="1"/>
    <col min="10259" max="10259" width="12.42578125" style="45" customWidth="1"/>
    <col min="10260" max="10260" width="15.140625" style="45" customWidth="1"/>
    <col min="10261" max="10261" width="13.5703125" style="45" customWidth="1"/>
    <col min="10262" max="10262" width="13.140625" style="45" customWidth="1"/>
    <col min="10263" max="10263" width="15.7109375" style="45" customWidth="1"/>
    <col min="10264" max="10264" width="37.5703125" style="45" customWidth="1"/>
    <col min="10265" max="10486" width="11.42578125" style="45"/>
    <col min="10487" max="10487" width="10.5703125" style="45" customWidth="1"/>
    <col min="10488" max="10488" width="4.85546875" style="45" customWidth="1"/>
    <col min="10489" max="10489" width="32.42578125" style="45" customWidth="1"/>
    <col min="10490" max="10490" width="9.85546875" style="45" customWidth="1"/>
    <col min="10491" max="10491" width="10.140625" style="45" customWidth="1"/>
    <col min="10492" max="10492" width="12.28515625" style="45" customWidth="1"/>
    <col min="10493" max="10493" width="15.42578125" style="45" customWidth="1"/>
    <col min="10494" max="10494" width="11.85546875" style="45" customWidth="1"/>
    <col min="10495" max="10495" width="13.28515625" style="45" customWidth="1"/>
    <col min="10496" max="10496" width="15.28515625" style="45" customWidth="1"/>
    <col min="10497" max="10497" width="11.85546875" style="45" customWidth="1"/>
    <col min="10498" max="10498" width="6.140625" style="45" customWidth="1"/>
    <col min="10499" max="10499" width="11.85546875" style="45" customWidth="1"/>
    <col min="10500" max="10500" width="9.42578125" style="45" customWidth="1"/>
    <col min="10501" max="10501" width="14.7109375" style="45" customWidth="1"/>
    <col min="10502" max="10502" width="11.5703125" style="45" customWidth="1"/>
    <col min="10503" max="10503" width="0.42578125" style="45" customWidth="1"/>
    <col min="10504" max="10504" width="10.5703125" style="45" bestFit="1" customWidth="1"/>
    <col min="10505" max="10505" width="12.28515625" style="45" customWidth="1"/>
    <col min="10506" max="10506" width="12.5703125" style="45" customWidth="1"/>
    <col min="10507" max="10507" width="10.5703125" style="45" customWidth="1"/>
    <col min="10508" max="10508" width="10.140625" style="45" customWidth="1"/>
    <col min="10509" max="10509" width="8.42578125" style="45" customWidth="1"/>
    <col min="10510" max="10510" width="18.85546875" style="45" customWidth="1"/>
    <col min="10511" max="10511" width="10.28515625" style="45" customWidth="1"/>
    <col min="10512" max="10512" width="11.42578125" style="45"/>
    <col min="10513" max="10513" width="12.140625" style="45" customWidth="1"/>
    <col min="10514" max="10514" width="10.5703125" style="45" customWidth="1"/>
    <col min="10515" max="10515" width="12.42578125" style="45" customWidth="1"/>
    <col min="10516" max="10516" width="15.140625" style="45" customWidth="1"/>
    <col min="10517" max="10517" width="13.5703125" style="45" customWidth="1"/>
    <col min="10518" max="10518" width="13.140625" style="45" customWidth="1"/>
    <col min="10519" max="10519" width="15.7109375" style="45" customWidth="1"/>
    <col min="10520" max="10520" width="37.5703125" style="45" customWidth="1"/>
    <col min="10521" max="10742" width="11.42578125" style="45"/>
    <col min="10743" max="10743" width="10.5703125" style="45" customWidth="1"/>
    <col min="10744" max="10744" width="4.85546875" style="45" customWidth="1"/>
    <col min="10745" max="10745" width="32.42578125" style="45" customWidth="1"/>
    <col min="10746" max="10746" width="9.85546875" style="45" customWidth="1"/>
    <col min="10747" max="10747" width="10.140625" style="45" customWidth="1"/>
    <col min="10748" max="10748" width="12.28515625" style="45" customWidth="1"/>
    <col min="10749" max="10749" width="15.42578125" style="45" customWidth="1"/>
    <col min="10750" max="10750" width="11.85546875" style="45" customWidth="1"/>
    <col min="10751" max="10751" width="13.28515625" style="45" customWidth="1"/>
    <col min="10752" max="10752" width="15.28515625" style="45" customWidth="1"/>
    <col min="10753" max="10753" width="11.85546875" style="45" customWidth="1"/>
    <col min="10754" max="10754" width="6.140625" style="45" customWidth="1"/>
    <col min="10755" max="10755" width="11.85546875" style="45" customWidth="1"/>
    <col min="10756" max="10756" width="9.42578125" style="45" customWidth="1"/>
    <col min="10757" max="10757" width="14.7109375" style="45" customWidth="1"/>
    <col min="10758" max="10758" width="11.5703125" style="45" customWidth="1"/>
    <col min="10759" max="10759" width="0.42578125" style="45" customWidth="1"/>
    <col min="10760" max="10760" width="10.5703125" style="45" bestFit="1" customWidth="1"/>
    <col min="10761" max="10761" width="12.28515625" style="45" customWidth="1"/>
    <col min="10762" max="10762" width="12.5703125" style="45" customWidth="1"/>
    <col min="10763" max="10763" width="10.5703125" style="45" customWidth="1"/>
    <col min="10764" max="10764" width="10.140625" style="45" customWidth="1"/>
    <col min="10765" max="10765" width="8.42578125" style="45" customWidth="1"/>
    <col min="10766" max="10766" width="18.85546875" style="45" customWidth="1"/>
    <col min="10767" max="10767" width="10.28515625" style="45" customWidth="1"/>
    <col min="10768" max="10768" width="11.42578125" style="45"/>
    <col min="10769" max="10769" width="12.140625" style="45" customWidth="1"/>
    <col min="10770" max="10770" width="10.5703125" style="45" customWidth="1"/>
    <col min="10771" max="10771" width="12.42578125" style="45" customWidth="1"/>
    <col min="10772" max="10772" width="15.140625" style="45" customWidth="1"/>
    <col min="10773" max="10773" width="13.5703125" style="45" customWidth="1"/>
    <col min="10774" max="10774" width="13.140625" style="45" customWidth="1"/>
    <col min="10775" max="10775" width="15.7109375" style="45" customWidth="1"/>
    <col min="10776" max="10776" width="37.5703125" style="45" customWidth="1"/>
    <col min="10777" max="10998" width="11.42578125" style="45"/>
    <col min="10999" max="10999" width="10.5703125" style="45" customWidth="1"/>
    <col min="11000" max="11000" width="4.85546875" style="45" customWidth="1"/>
    <col min="11001" max="11001" width="32.42578125" style="45" customWidth="1"/>
    <col min="11002" max="11002" width="9.85546875" style="45" customWidth="1"/>
    <col min="11003" max="11003" width="10.140625" style="45" customWidth="1"/>
    <col min="11004" max="11004" width="12.28515625" style="45" customWidth="1"/>
    <col min="11005" max="11005" width="15.42578125" style="45" customWidth="1"/>
    <col min="11006" max="11006" width="11.85546875" style="45" customWidth="1"/>
    <col min="11007" max="11007" width="13.28515625" style="45" customWidth="1"/>
    <col min="11008" max="11008" width="15.28515625" style="45" customWidth="1"/>
    <col min="11009" max="11009" width="11.85546875" style="45" customWidth="1"/>
    <col min="11010" max="11010" width="6.140625" style="45" customWidth="1"/>
    <col min="11011" max="11011" width="11.85546875" style="45" customWidth="1"/>
    <col min="11012" max="11012" width="9.42578125" style="45" customWidth="1"/>
    <col min="11013" max="11013" width="14.7109375" style="45" customWidth="1"/>
    <col min="11014" max="11014" width="11.5703125" style="45" customWidth="1"/>
    <col min="11015" max="11015" width="0.42578125" style="45" customWidth="1"/>
    <col min="11016" max="11016" width="10.5703125" style="45" bestFit="1" customWidth="1"/>
    <col min="11017" max="11017" width="12.28515625" style="45" customWidth="1"/>
    <col min="11018" max="11018" width="12.5703125" style="45" customWidth="1"/>
    <col min="11019" max="11019" width="10.5703125" style="45" customWidth="1"/>
    <col min="11020" max="11020" width="10.140625" style="45" customWidth="1"/>
    <col min="11021" max="11021" width="8.42578125" style="45" customWidth="1"/>
    <col min="11022" max="11022" width="18.85546875" style="45" customWidth="1"/>
    <col min="11023" max="11023" width="10.28515625" style="45" customWidth="1"/>
    <col min="11024" max="11024" width="11.42578125" style="45"/>
    <col min="11025" max="11025" width="12.140625" style="45" customWidth="1"/>
    <col min="11026" max="11026" width="10.5703125" style="45" customWidth="1"/>
    <col min="11027" max="11027" width="12.42578125" style="45" customWidth="1"/>
    <col min="11028" max="11028" width="15.140625" style="45" customWidth="1"/>
    <col min="11029" max="11029" width="13.5703125" style="45" customWidth="1"/>
    <col min="11030" max="11030" width="13.140625" style="45" customWidth="1"/>
    <col min="11031" max="11031" width="15.7109375" style="45" customWidth="1"/>
    <col min="11032" max="11032" width="37.5703125" style="45" customWidth="1"/>
    <col min="11033" max="11254" width="11.42578125" style="45"/>
    <col min="11255" max="11255" width="10.5703125" style="45" customWidth="1"/>
    <col min="11256" max="11256" width="4.85546875" style="45" customWidth="1"/>
    <col min="11257" max="11257" width="32.42578125" style="45" customWidth="1"/>
    <col min="11258" max="11258" width="9.85546875" style="45" customWidth="1"/>
    <col min="11259" max="11259" width="10.140625" style="45" customWidth="1"/>
    <col min="11260" max="11260" width="12.28515625" style="45" customWidth="1"/>
    <col min="11261" max="11261" width="15.42578125" style="45" customWidth="1"/>
    <col min="11262" max="11262" width="11.85546875" style="45" customWidth="1"/>
    <col min="11263" max="11263" width="13.28515625" style="45" customWidth="1"/>
    <col min="11264" max="11264" width="15.28515625" style="45" customWidth="1"/>
    <col min="11265" max="11265" width="11.85546875" style="45" customWidth="1"/>
    <col min="11266" max="11266" width="6.140625" style="45" customWidth="1"/>
    <col min="11267" max="11267" width="11.85546875" style="45" customWidth="1"/>
    <col min="11268" max="11268" width="9.42578125" style="45" customWidth="1"/>
    <col min="11269" max="11269" width="14.7109375" style="45" customWidth="1"/>
    <col min="11270" max="11270" width="11.5703125" style="45" customWidth="1"/>
    <col min="11271" max="11271" width="0.42578125" style="45" customWidth="1"/>
    <col min="11272" max="11272" width="10.5703125" style="45" bestFit="1" customWidth="1"/>
    <col min="11273" max="11273" width="12.28515625" style="45" customWidth="1"/>
    <col min="11274" max="11274" width="12.5703125" style="45" customWidth="1"/>
    <col min="11275" max="11275" width="10.5703125" style="45" customWidth="1"/>
    <col min="11276" max="11276" width="10.140625" style="45" customWidth="1"/>
    <col min="11277" max="11277" width="8.42578125" style="45" customWidth="1"/>
    <col min="11278" max="11278" width="18.85546875" style="45" customWidth="1"/>
    <col min="11279" max="11279" width="10.28515625" style="45" customWidth="1"/>
    <col min="11280" max="11280" width="11.42578125" style="45"/>
    <col min="11281" max="11281" width="12.140625" style="45" customWidth="1"/>
    <col min="11282" max="11282" width="10.5703125" style="45" customWidth="1"/>
    <col min="11283" max="11283" width="12.42578125" style="45" customWidth="1"/>
    <col min="11284" max="11284" width="15.140625" style="45" customWidth="1"/>
    <col min="11285" max="11285" width="13.5703125" style="45" customWidth="1"/>
    <col min="11286" max="11286" width="13.140625" style="45" customWidth="1"/>
    <col min="11287" max="11287" width="15.7109375" style="45" customWidth="1"/>
    <col min="11288" max="11288" width="37.5703125" style="45" customWidth="1"/>
    <col min="11289" max="11510" width="11.42578125" style="45"/>
    <col min="11511" max="11511" width="10.5703125" style="45" customWidth="1"/>
    <col min="11512" max="11512" width="4.85546875" style="45" customWidth="1"/>
    <col min="11513" max="11513" width="32.42578125" style="45" customWidth="1"/>
    <col min="11514" max="11514" width="9.85546875" style="45" customWidth="1"/>
    <col min="11515" max="11515" width="10.140625" style="45" customWidth="1"/>
    <col min="11516" max="11516" width="12.28515625" style="45" customWidth="1"/>
    <col min="11517" max="11517" width="15.42578125" style="45" customWidth="1"/>
    <col min="11518" max="11518" width="11.85546875" style="45" customWidth="1"/>
    <col min="11519" max="11519" width="13.28515625" style="45" customWidth="1"/>
    <col min="11520" max="11520" width="15.28515625" style="45" customWidth="1"/>
    <col min="11521" max="11521" width="11.85546875" style="45" customWidth="1"/>
    <col min="11522" max="11522" width="6.140625" style="45" customWidth="1"/>
    <col min="11523" max="11523" width="11.85546875" style="45" customWidth="1"/>
    <col min="11524" max="11524" width="9.42578125" style="45" customWidth="1"/>
    <col min="11525" max="11525" width="14.7109375" style="45" customWidth="1"/>
    <col min="11526" max="11526" width="11.5703125" style="45" customWidth="1"/>
    <col min="11527" max="11527" width="0.42578125" style="45" customWidth="1"/>
    <col min="11528" max="11528" width="10.5703125" style="45" bestFit="1" customWidth="1"/>
    <col min="11529" max="11529" width="12.28515625" style="45" customWidth="1"/>
    <col min="11530" max="11530" width="12.5703125" style="45" customWidth="1"/>
    <col min="11531" max="11531" width="10.5703125" style="45" customWidth="1"/>
    <col min="11532" max="11532" width="10.140625" style="45" customWidth="1"/>
    <col min="11533" max="11533" width="8.42578125" style="45" customWidth="1"/>
    <col min="11534" max="11534" width="18.85546875" style="45" customWidth="1"/>
    <col min="11535" max="11535" width="10.28515625" style="45" customWidth="1"/>
    <col min="11536" max="11536" width="11.42578125" style="45"/>
    <col min="11537" max="11537" width="12.140625" style="45" customWidth="1"/>
    <col min="11538" max="11538" width="10.5703125" style="45" customWidth="1"/>
    <col min="11539" max="11539" width="12.42578125" style="45" customWidth="1"/>
    <col min="11540" max="11540" width="15.140625" style="45" customWidth="1"/>
    <col min="11541" max="11541" width="13.5703125" style="45" customWidth="1"/>
    <col min="11542" max="11542" width="13.140625" style="45" customWidth="1"/>
    <col min="11543" max="11543" width="15.7109375" style="45" customWidth="1"/>
    <col min="11544" max="11544" width="37.5703125" style="45" customWidth="1"/>
    <col min="11545" max="11766" width="11.42578125" style="45"/>
    <col min="11767" max="11767" width="10.5703125" style="45" customWidth="1"/>
    <col min="11768" max="11768" width="4.85546875" style="45" customWidth="1"/>
    <col min="11769" max="11769" width="32.42578125" style="45" customWidth="1"/>
    <col min="11770" max="11770" width="9.85546875" style="45" customWidth="1"/>
    <col min="11771" max="11771" width="10.140625" style="45" customWidth="1"/>
    <col min="11772" max="11772" width="12.28515625" style="45" customWidth="1"/>
    <col min="11773" max="11773" width="15.42578125" style="45" customWidth="1"/>
    <col min="11774" max="11774" width="11.85546875" style="45" customWidth="1"/>
    <col min="11775" max="11775" width="13.28515625" style="45" customWidth="1"/>
    <col min="11776" max="11776" width="15.28515625" style="45" customWidth="1"/>
    <col min="11777" max="11777" width="11.85546875" style="45" customWidth="1"/>
    <col min="11778" max="11778" width="6.140625" style="45" customWidth="1"/>
    <col min="11779" max="11779" width="11.85546875" style="45" customWidth="1"/>
    <col min="11780" max="11780" width="9.42578125" style="45" customWidth="1"/>
    <col min="11781" max="11781" width="14.7109375" style="45" customWidth="1"/>
    <col min="11782" max="11782" width="11.5703125" style="45" customWidth="1"/>
    <col min="11783" max="11783" width="0.42578125" style="45" customWidth="1"/>
    <col min="11784" max="11784" width="10.5703125" style="45" bestFit="1" customWidth="1"/>
    <col min="11785" max="11785" width="12.28515625" style="45" customWidth="1"/>
    <col min="11786" max="11786" width="12.5703125" style="45" customWidth="1"/>
    <col min="11787" max="11787" width="10.5703125" style="45" customWidth="1"/>
    <col min="11788" max="11788" width="10.140625" style="45" customWidth="1"/>
    <col min="11789" max="11789" width="8.42578125" style="45" customWidth="1"/>
    <col min="11790" max="11790" width="18.85546875" style="45" customWidth="1"/>
    <col min="11791" max="11791" width="10.28515625" style="45" customWidth="1"/>
    <col min="11792" max="11792" width="11.42578125" style="45"/>
    <col min="11793" max="11793" width="12.140625" style="45" customWidth="1"/>
    <col min="11794" max="11794" width="10.5703125" style="45" customWidth="1"/>
    <col min="11795" max="11795" width="12.42578125" style="45" customWidth="1"/>
    <col min="11796" max="11796" width="15.140625" style="45" customWidth="1"/>
    <col min="11797" max="11797" width="13.5703125" style="45" customWidth="1"/>
    <col min="11798" max="11798" width="13.140625" style="45" customWidth="1"/>
    <col min="11799" max="11799" width="15.7109375" style="45" customWidth="1"/>
    <col min="11800" max="11800" width="37.5703125" style="45" customWidth="1"/>
    <col min="11801" max="12022" width="11.42578125" style="45"/>
    <col min="12023" max="12023" width="10.5703125" style="45" customWidth="1"/>
    <col min="12024" max="12024" width="4.85546875" style="45" customWidth="1"/>
    <col min="12025" max="12025" width="32.42578125" style="45" customWidth="1"/>
    <col min="12026" max="12026" width="9.85546875" style="45" customWidth="1"/>
    <col min="12027" max="12027" width="10.140625" style="45" customWidth="1"/>
    <col min="12028" max="12028" width="12.28515625" style="45" customWidth="1"/>
    <col min="12029" max="12029" width="15.42578125" style="45" customWidth="1"/>
    <col min="12030" max="12030" width="11.85546875" style="45" customWidth="1"/>
    <col min="12031" max="12031" width="13.28515625" style="45" customWidth="1"/>
    <col min="12032" max="12032" width="15.28515625" style="45" customWidth="1"/>
    <col min="12033" max="12033" width="11.85546875" style="45" customWidth="1"/>
    <col min="12034" max="12034" width="6.140625" style="45" customWidth="1"/>
    <col min="12035" max="12035" width="11.85546875" style="45" customWidth="1"/>
    <col min="12036" max="12036" width="9.42578125" style="45" customWidth="1"/>
    <col min="12037" max="12037" width="14.7109375" style="45" customWidth="1"/>
    <col min="12038" max="12038" width="11.5703125" style="45" customWidth="1"/>
    <col min="12039" max="12039" width="0.42578125" style="45" customWidth="1"/>
    <col min="12040" max="12040" width="10.5703125" style="45" bestFit="1" customWidth="1"/>
    <col min="12041" max="12041" width="12.28515625" style="45" customWidth="1"/>
    <col min="12042" max="12042" width="12.5703125" style="45" customWidth="1"/>
    <col min="12043" max="12043" width="10.5703125" style="45" customWidth="1"/>
    <col min="12044" max="12044" width="10.140625" style="45" customWidth="1"/>
    <col min="12045" max="12045" width="8.42578125" style="45" customWidth="1"/>
    <col min="12046" max="12046" width="18.85546875" style="45" customWidth="1"/>
    <col min="12047" max="12047" width="10.28515625" style="45" customWidth="1"/>
    <col min="12048" max="12048" width="11.42578125" style="45"/>
    <col min="12049" max="12049" width="12.140625" style="45" customWidth="1"/>
    <col min="12050" max="12050" width="10.5703125" style="45" customWidth="1"/>
    <col min="12051" max="12051" width="12.42578125" style="45" customWidth="1"/>
    <col min="12052" max="12052" width="15.140625" style="45" customWidth="1"/>
    <col min="12053" max="12053" width="13.5703125" style="45" customWidth="1"/>
    <col min="12054" max="12054" width="13.140625" style="45" customWidth="1"/>
    <col min="12055" max="12055" width="15.7109375" style="45" customWidth="1"/>
    <col min="12056" max="12056" width="37.5703125" style="45" customWidth="1"/>
    <col min="12057" max="12278" width="11.42578125" style="45"/>
    <col min="12279" max="12279" width="10.5703125" style="45" customWidth="1"/>
    <col min="12280" max="12280" width="4.85546875" style="45" customWidth="1"/>
    <col min="12281" max="12281" width="32.42578125" style="45" customWidth="1"/>
    <col min="12282" max="12282" width="9.85546875" style="45" customWidth="1"/>
    <col min="12283" max="12283" width="10.140625" style="45" customWidth="1"/>
    <col min="12284" max="12284" width="12.28515625" style="45" customWidth="1"/>
    <col min="12285" max="12285" width="15.42578125" style="45" customWidth="1"/>
    <col min="12286" max="12286" width="11.85546875" style="45" customWidth="1"/>
    <col min="12287" max="12287" width="13.28515625" style="45" customWidth="1"/>
    <col min="12288" max="12288" width="15.28515625" style="45" customWidth="1"/>
    <col min="12289" max="12289" width="11.85546875" style="45" customWidth="1"/>
    <col min="12290" max="12290" width="6.140625" style="45" customWidth="1"/>
    <col min="12291" max="12291" width="11.85546875" style="45" customWidth="1"/>
    <col min="12292" max="12292" width="9.42578125" style="45" customWidth="1"/>
    <col min="12293" max="12293" width="14.7109375" style="45" customWidth="1"/>
    <col min="12294" max="12294" width="11.5703125" style="45" customWidth="1"/>
    <col min="12295" max="12295" width="0.42578125" style="45" customWidth="1"/>
    <col min="12296" max="12296" width="10.5703125" style="45" bestFit="1" customWidth="1"/>
    <col min="12297" max="12297" width="12.28515625" style="45" customWidth="1"/>
    <col min="12298" max="12298" width="12.5703125" style="45" customWidth="1"/>
    <col min="12299" max="12299" width="10.5703125" style="45" customWidth="1"/>
    <col min="12300" max="12300" width="10.140625" style="45" customWidth="1"/>
    <col min="12301" max="12301" width="8.42578125" style="45" customWidth="1"/>
    <col min="12302" max="12302" width="18.85546875" style="45" customWidth="1"/>
    <col min="12303" max="12303" width="10.28515625" style="45" customWidth="1"/>
    <col min="12304" max="12304" width="11.42578125" style="45"/>
    <col min="12305" max="12305" width="12.140625" style="45" customWidth="1"/>
    <col min="12306" max="12306" width="10.5703125" style="45" customWidth="1"/>
    <col min="12307" max="12307" width="12.42578125" style="45" customWidth="1"/>
    <col min="12308" max="12308" width="15.140625" style="45" customWidth="1"/>
    <col min="12309" max="12309" width="13.5703125" style="45" customWidth="1"/>
    <col min="12310" max="12310" width="13.140625" style="45" customWidth="1"/>
    <col min="12311" max="12311" width="15.7109375" style="45" customWidth="1"/>
    <col min="12312" max="12312" width="37.5703125" style="45" customWidth="1"/>
    <col min="12313" max="12534" width="11.42578125" style="45"/>
    <col min="12535" max="12535" width="10.5703125" style="45" customWidth="1"/>
    <col min="12536" max="12536" width="4.85546875" style="45" customWidth="1"/>
    <col min="12537" max="12537" width="32.42578125" style="45" customWidth="1"/>
    <col min="12538" max="12538" width="9.85546875" style="45" customWidth="1"/>
    <col min="12539" max="12539" width="10.140625" style="45" customWidth="1"/>
    <col min="12540" max="12540" width="12.28515625" style="45" customWidth="1"/>
    <col min="12541" max="12541" width="15.42578125" style="45" customWidth="1"/>
    <col min="12542" max="12542" width="11.85546875" style="45" customWidth="1"/>
    <col min="12543" max="12543" width="13.28515625" style="45" customWidth="1"/>
    <col min="12544" max="12544" width="15.28515625" style="45" customWidth="1"/>
    <col min="12545" max="12545" width="11.85546875" style="45" customWidth="1"/>
    <col min="12546" max="12546" width="6.140625" style="45" customWidth="1"/>
    <col min="12547" max="12547" width="11.85546875" style="45" customWidth="1"/>
    <col min="12548" max="12548" width="9.42578125" style="45" customWidth="1"/>
    <col min="12549" max="12549" width="14.7109375" style="45" customWidth="1"/>
    <col min="12550" max="12550" width="11.5703125" style="45" customWidth="1"/>
    <col min="12551" max="12551" width="0.42578125" style="45" customWidth="1"/>
    <col min="12552" max="12552" width="10.5703125" style="45" bestFit="1" customWidth="1"/>
    <col min="12553" max="12553" width="12.28515625" style="45" customWidth="1"/>
    <col min="12554" max="12554" width="12.5703125" style="45" customWidth="1"/>
    <col min="12555" max="12555" width="10.5703125" style="45" customWidth="1"/>
    <col min="12556" max="12556" width="10.140625" style="45" customWidth="1"/>
    <col min="12557" max="12557" width="8.42578125" style="45" customWidth="1"/>
    <col min="12558" max="12558" width="18.85546875" style="45" customWidth="1"/>
    <col min="12559" max="12559" width="10.28515625" style="45" customWidth="1"/>
    <col min="12560" max="12560" width="11.42578125" style="45"/>
    <col min="12561" max="12561" width="12.140625" style="45" customWidth="1"/>
    <col min="12562" max="12562" width="10.5703125" style="45" customWidth="1"/>
    <col min="12563" max="12563" width="12.42578125" style="45" customWidth="1"/>
    <col min="12564" max="12564" width="15.140625" style="45" customWidth="1"/>
    <col min="12565" max="12565" width="13.5703125" style="45" customWidth="1"/>
    <col min="12566" max="12566" width="13.140625" style="45" customWidth="1"/>
    <col min="12567" max="12567" width="15.7109375" style="45" customWidth="1"/>
    <col min="12568" max="12568" width="37.5703125" style="45" customWidth="1"/>
    <col min="12569" max="12790" width="11.42578125" style="45"/>
    <col min="12791" max="12791" width="10.5703125" style="45" customWidth="1"/>
    <col min="12792" max="12792" width="4.85546875" style="45" customWidth="1"/>
    <col min="12793" max="12793" width="32.42578125" style="45" customWidth="1"/>
    <col min="12794" max="12794" width="9.85546875" style="45" customWidth="1"/>
    <col min="12795" max="12795" width="10.140625" style="45" customWidth="1"/>
    <col min="12796" max="12796" width="12.28515625" style="45" customWidth="1"/>
    <col min="12797" max="12797" width="15.42578125" style="45" customWidth="1"/>
    <col min="12798" max="12798" width="11.85546875" style="45" customWidth="1"/>
    <col min="12799" max="12799" width="13.28515625" style="45" customWidth="1"/>
    <col min="12800" max="12800" width="15.28515625" style="45" customWidth="1"/>
    <col min="12801" max="12801" width="11.85546875" style="45" customWidth="1"/>
    <col min="12802" max="12802" width="6.140625" style="45" customWidth="1"/>
    <col min="12803" max="12803" width="11.85546875" style="45" customWidth="1"/>
    <col min="12804" max="12804" width="9.42578125" style="45" customWidth="1"/>
    <col min="12805" max="12805" width="14.7109375" style="45" customWidth="1"/>
    <col min="12806" max="12806" width="11.5703125" style="45" customWidth="1"/>
    <col min="12807" max="12807" width="0.42578125" style="45" customWidth="1"/>
    <col min="12808" max="12808" width="10.5703125" style="45" bestFit="1" customWidth="1"/>
    <col min="12809" max="12809" width="12.28515625" style="45" customWidth="1"/>
    <col min="12810" max="12810" width="12.5703125" style="45" customWidth="1"/>
    <col min="12811" max="12811" width="10.5703125" style="45" customWidth="1"/>
    <col min="12812" max="12812" width="10.140625" style="45" customWidth="1"/>
    <col min="12813" max="12813" width="8.42578125" style="45" customWidth="1"/>
    <col min="12814" max="12814" width="18.85546875" style="45" customWidth="1"/>
    <col min="12815" max="12815" width="10.28515625" style="45" customWidth="1"/>
    <col min="12816" max="12816" width="11.42578125" style="45"/>
    <col min="12817" max="12817" width="12.140625" style="45" customWidth="1"/>
    <col min="12818" max="12818" width="10.5703125" style="45" customWidth="1"/>
    <col min="12819" max="12819" width="12.42578125" style="45" customWidth="1"/>
    <col min="12820" max="12820" width="15.140625" style="45" customWidth="1"/>
    <col min="12821" max="12821" width="13.5703125" style="45" customWidth="1"/>
    <col min="12822" max="12822" width="13.140625" style="45" customWidth="1"/>
    <col min="12823" max="12823" width="15.7109375" style="45" customWidth="1"/>
    <col min="12824" max="12824" width="37.5703125" style="45" customWidth="1"/>
    <col min="12825" max="13046" width="11.42578125" style="45"/>
    <col min="13047" max="13047" width="10.5703125" style="45" customWidth="1"/>
    <col min="13048" max="13048" width="4.85546875" style="45" customWidth="1"/>
    <col min="13049" max="13049" width="32.42578125" style="45" customWidth="1"/>
    <col min="13050" max="13050" width="9.85546875" style="45" customWidth="1"/>
    <col min="13051" max="13051" width="10.140625" style="45" customWidth="1"/>
    <col min="13052" max="13052" width="12.28515625" style="45" customWidth="1"/>
    <col min="13053" max="13053" width="15.42578125" style="45" customWidth="1"/>
    <col min="13054" max="13054" width="11.85546875" style="45" customWidth="1"/>
    <col min="13055" max="13055" width="13.28515625" style="45" customWidth="1"/>
    <col min="13056" max="13056" width="15.28515625" style="45" customWidth="1"/>
    <col min="13057" max="13057" width="11.85546875" style="45" customWidth="1"/>
    <col min="13058" max="13058" width="6.140625" style="45" customWidth="1"/>
    <col min="13059" max="13059" width="11.85546875" style="45" customWidth="1"/>
    <col min="13060" max="13060" width="9.42578125" style="45" customWidth="1"/>
    <col min="13061" max="13061" width="14.7109375" style="45" customWidth="1"/>
    <col min="13062" max="13062" width="11.5703125" style="45" customWidth="1"/>
    <col min="13063" max="13063" width="0.42578125" style="45" customWidth="1"/>
    <col min="13064" max="13064" width="10.5703125" style="45" bestFit="1" customWidth="1"/>
    <col min="13065" max="13065" width="12.28515625" style="45" customWidth="1"/>
    <col min="13066" max="13066" width="12.5703125" style="45" customWidth="1"/>
    <col min="13067" max="13067" width="10.5703125" style="45" customWidth="1"/>
    <col min="13068" max="13068" width="10.140625" style="45" customWidth="1"/>
    <col min="13069" max="13069" width="8.42578125" style="45" customWidth="1"/>
    <col min="13070" max="13070" width="18.85546875" style="45" customWidth="1"/>
    <col min="13071" max="13071" width="10.28515625" style="45" customWidth="1"/>
    <col min="13072" max="13072" width="11.42578125" style="45"/>
    <col min="13073" max="13073" width="12.140625" style="45" customWidth="1"/>
    <col min="13074" max="13074" width="10.5703125" style="45" customWidth="1"/>
    <col min="13075" max="13075" width="12.42578125" style="45" customWidth="1"/>
    <col min="13076" max="13076" width="15.140625" style="45" customWidth="1"/>
    <col min="13077" max="13077" width="13.5703125" style="45" customWidth="1"/>
    <col min="13078" max="13078" width="13.140625" style="45" customWidth="1"/>
    <col min="13079" max="13079" width="15.7109375" style="45" customWidth="1"/>
    <col min="13080" max="13080" width="37.5703125" style="45" customWidth="1"/>
    <col min="13081" max="13302" width="11.42578125" style="45"/>
    <col min="13303" max="13303" width="10.5703125" style="45" customWidth="1"/>
    <col min="13304" max="13304" width="4.85546875" style="45" customWidth="1"/>
    <col min="13305" max="13305" width="32.42578125" style="45" customWidth="1"/>
    <col min="13306" max="13306" width="9.85546875" style="45" customWidth="1"/>
    <col min="13307" max="13307" width="10.140625" style="45" customWidth="1"/>
    <col min="13308" max="13308" width="12.28515625" style="45" customWidth="1"/>
    <col min="13309" max="13309" width="15.42578125" style="45" customWidth="1"/>
    <col min="13310" max="13310" width="11.85546875" style="45" customWidth="1"/>
    <col min="13311" max="13311" width="13.28515625" style="45" customWidth="1"/>
    <col min="13312" max="13312" width="15.28515625" style="45" customWidth="1"/>
    <col min="13313" max="13313" width="11.85546875" style="45" customWidth="1"/>
    <col min="13314" max="13314" width="6.140625" style="45" customWidth="1"/>
    <col min="13315" max="13315" width="11.85546875" style="45" customWidth="1"/>
    <col min="13316" max="13316" width="9.42578125" style="45" customWidth="1"/>
    <col min="13317" max="13317" width="14.7109375" style="45" customWidth="1"/>
    <col min="13318" max="13318" width="11.5703125" style="45" customWidth="1"/>
    <col min="13319" max="13319" width="0.42578125" style="45" customWidth="1"/>
    <col min="13320" max="13320" width="10.5703125" style="45" bestFit="1" customWidth="1"/>
    <col min="13321" max="13321" width="12.28515625" style="45" customWidth="1"/>
    <col min="13322" max="13322" width="12.5703125" style="45" customWidth="1"/>
    <col min="13323" max="13323" width="10.5703125" style="45" customWidth="1"/>
    <col min="13324" max="13324" width="10.140625" style="45" customWidth="1"/>
    <col min="13325" max="13325" width="8.42578125" style="45" customWidth="1"/>
    <col min="13326" max="13326" width="18.85546875" style="45" customWidth="1"/>
    <col min="13327" max="13327" width="10.28515625" style="45" customWidth="1"/>
    <col min="13328" max="13328" width="11.42578125" style="45"/>
    <col min="13329" max="13329" width="12.140625" style="45" customWidth="1"/>
    <col min="13330" max="13330" width="10.5703125" style="45" customWidth="1"/>
    <col min="13331" max="13331" width="12.42578125" style="45" customWidth="1"/>
    <col min="13332" max="13332" width="15.140625" style="45" customWidth="1"/>
    <col min="13333" max="13333" width="13.5703125" style="45" customWidth="1"/>
    <col min="13334" max="13334" width="13.140625" style="45" customWidth="1"/>
    <col min="13335" max="13335" width="15.7109375" style="45" customWidth="1"/>
    <col min="13336" max="13336" width="37.5703125" style="45" customWidth="1"/>
    <col min="13337" max="13558" width="11.42578125" style="45"/>
    <col min="13559" max="13559" width="10.5703125" style="45" customWidth="1"/>
    <col min="13560" max="13560" width="4.85546875" style="45" customWidth="1"/>
    <col min="13561" max="13561" width="32.42578125" style="45" customWidth="1"/>
    <col min="13562" max="13562" width="9.85546875" style="45" customWidth="1"/>
    <col min="13563" max="13563" width="10.140625" style="45" customWidth="1"/>
    <col min="13564" max="13564" width="12.28515625" style="45" customWidth="1"/>
    <col min="13565" max="13565" width="15.42578125" style="45" customWidth="1"/>
    <col min="13566" max="13566" width="11.85546875" style="45" customWidth="1"/>
    <col min="13567" max="13567" width="13.28515625" style="45" customWidth="1"/>
    <col min="13568" max="13568" width="15.28515625" style="45" customWidth="1"/>
    <col min="13569" max="13569" width="11.85546875" style="45" customWidth="1"/>
    <col min="13570" max="13570" width="6.140625" style="45" customWidth="1"/>
    <col min="13571" max="13571" width="11.85546875" style="45" customWidth="1"/>
    <col min="13572" max="13572" width="9.42578125" style="45" customWidth="1"/>
    <col min="13573" max="13573" width="14.7109375" style="45" customWidth="1"/>
    <col min="13574" max="13574" width="11.5703125" style="45" customWidth="1"/>
    <col min="13575" max="13575" width="0.42578125" style="45" customWidth="1"/>
    <col min="13576" max="13576" width="10.5703125" style="45" bestFit="1" customWidth="1"/>
    <col min="13577" max="13577" width="12.28515625" style="45" customWidth="1"/>
    <col min="13578" max="13578" width="12.5703125" style="45" customWidth="1"/>
    <col min="13579" max="13579" width="10.5703125" style="45" customWidth="1"/>
    <col min="13580" max="13580" width="10.140625" style="45" customWidth="1"/>
    <col min="13581" max="13581" width="8.42578125" style="45" customWidth="1"/>
    <col min="13582" max="13582" width="18.85546875" style="45" customWidth="1"/>
    <col min="13583" max="13583" width="10.28515625" style="45" customWidth="1"/>
    <col min="13584" max="13584" width="11.42578125" style="45"/>
    <col min="13585" max="13585" width="12.140625" style="45" customWidth="1"/>
    <col min="13586" max="13586" width="10.5703125" style="45" customWidth="1"/>
    <col min="13587" max="13587" width="12.42578125" style="45" customWidth="1"/>
    <col min="13588" max="13588" width="15.140625" style="45" customWidth="1"/>
    <col min="13589" max="13589" width="13.5703125" style="45" customWidth="1"/>
    <col min="13590" max="13590" width="13.140625" style="45" customWidth="1"/>
    <col min="13591" max="13591" width="15.7109375" style="45" customWidth="1"/>
    <col min="13592" max="13592" width="37.5703125" style="45" customWidth="1"/>
    <col min="13593" max="13814" width="11.42578125" style="45"/>
    <col min="13815" max="13815" width="10.5703125" style="45" customWidth="1"/>
    <col min="13816" max="13816" width="4.85546875" style="45" customWidth="1"/>
    <col min="13817" max="13817" width="32.42578125" style="45" customWidth="1"/>
    <col min="13818" max="13818" width="9.85546875" style="45" customWidth="1"/>
    <col min="13819" max="13819" width="10.140625" style="45" customWidth="1"/>
    <col min="13820" max="13820" width="12.28515625" style="45" customWidth="1"/>
    <col min="13821" max="13821" width="15.42578125" style="45" customWidth="1"/>
    <col min="13822" max="13822" width="11.85546875" style="45" customWidth="1"/>
    <col min="13823" max="13823" width="13.28515625" style="45" customWidth="1"/>
    <col min="13824" max="13824" width="15.28515625" style="45" customWidth="1"/>
    <col min="13825" max="13825" width="11.85546875" style="45" customWidth="1"/>
    <col min="13826" max="13826" width="6.140625" style="45" customWidth="1"/>
    <col min="13827" max="13827" width="11.85546875" style="45" customWidth="1"/>
    <col min="13828" max="13828" width="9.42578125" style="45" customWidth="1"/>
    <col min="13829" max="13829" width="14.7109375" style="45" customWidth="1"/>
    <col min="13830" max="13830" width="11.5703125" style="45" customWidth="1"/>
    <col min="13831" max="13831" width="0.42578125" style="45" customWidth="1"/>
    <col min="13832" max="13832" width="10.5703125" style="45" bestFit="1" customWidth="1"/>
    <col min="13833" max="13833" width="12.28515625" style="45" customWidth="1"/>
    <col min="13834" max="13834" width="12.5703125" style="45" customWidth="1"/>
    <col min="13835" max="13835" width="10.5703125" style="45" customWidth="1"/>
    <col min="13836" max="13836" width="10.140625" style="45" customWidth="1"/>
    <col min="13837" max="13837" width="8.42578125" style="45" customWidth="1"/>
    <col min="13838" max="13838" width="18.85546875" style="45" customWidth="1"/>
    <col min="13839" max="13839" width="10.28515625" style="45" customWidth="1"/>
    <col min="13840" max="13840" width="11.42578125" style="45"/>
    <col min="13841" max="13841" width="12.140625" style="45" customWidth="1"/>
    <col min="13842" max="13842" width="10.5703125" style="45" customWidth="1"/>
    <col min="13843" max="13843" width="12.42578125" style="45" customWidth="1"/>
    <col min="13844" max="13844" width="15.140625" style="45" customWidth="1"/>
    <col min="13845" max="13845" width="13.5703125" style="45" customWidth="1"/>
    <col min="13846" max="13846" width="13.140625" style="45" customWidth="1"/>
    <col min="13847" max="13847" width="15.7109375" style="45" customWidth="1"/>
    <col min="13848" max="13848" width="37.5703125" style="45" customWidth="1"/>
    <col min="13849" max="14070" width="11.42578125" style="45"/>
    <col min="14071" max="14071" width="10.5703125" style="45" customWidth="1"/>
    <col min="14072" max="14072" width="4.85546875" style="45" customWidth="1"/>
    <col min="14073" max="14073" width="32.42578125" style="45" customWidth="1"/>
    <col min="14074" max="14074" width="9.85546875" style="45" customWidth="1"/>
    <col min="14075" max="14075" width="10.140625" style="45" customWidth="1"/>
    <col min="14076" max="14076" width="12.28515625" style="45" customWidth="1"/>
    <col min="14077" max="14077" width="15.42578125" style="45" customWidth="1"/>
    <col min="14078" max="14078" width="11.85546875" style="45" customWidth="1"/>
    <col min="14079" max="14079" width="13.28515625" style="45" customWidth="1"/>
    <col min="14080" max="14080" width="15.28515625" style="45" customWidth="1"/>
    <col min="14081" max="14081" width="11.85546875" style="45" customWidth="1"/>
    <col min="14082" max="14082" width="6.140625" style="45" customWidth="1"/>
    <col min="14083" max="14083" width="11.85546875" style="45" customWidth="1"/>
    <col min="14084" max="14084" width="9.42578125" style="45" customWidth="1"/>
    <col min="14085" max="14085" width="14.7109375" style="45" customWidth="1"/>
    <col min="14086" max="14086" width="11.5703125" style="45" customWidth="1"/>
    <col min="14087" max="14087" width="0.42578125" style="45" customWidth="1"/>
    <col min="14088" max="14088" width="10.5703125" style="45" bestFit="1" customWidth="1"/>
    <col min="14089" max="14089" width="12.28515625" style="45" customWidth="1"/>
    <col min="14090" max="14090" width="12.5703125" style="45" customWidth="1"/>
    <col min="14091" max="14091" width="10.5703125" style="45" customWidth="1"/>
    <col min="14092" max="14092" width="10.140625" style="45" customWidth="1"/>
    <col min="14093" max="14093" width="8.42578125" style="45" customWidth="1"/>
    <col min="14094" max="14094" width="18.85546875" style="45" customWidth="1"/>
    <col min="14095" max="14095" width="10.28515625" style="45" customWidth="1"/>
    <col min="14096" max="14096" width="11.42578125" style="45"/>
    <col min="14097" max="14097" width="12.140625" style="45" customWidth="1"/>
    <col min="14098" max="14098" width="10.5703125" style="45" customWidth="1"/>
    <col min="14099" max="14099" width="12.42578125" style="45" customWidth="1"/>
    <col min="14100" max="14100" width="15.140625" style="45" customWidth="1"/>
    <col min="14101" max="14101" width="13.5703125" style="45" customWidth="1"/>
    <col min="14102" max="14102" width="13.140625" style="45" customWidth="1"/>
    <col min="14103" max="14103" width="15.7109375" style="45" customWidth="1"/>
    <col min="14104" max="14104" width="37.5703125" style="45" customWidth="1"/>
    <col min="14105" max="14326" width="11.42578125" style="45"/>
    <col min="14327" max="14327" width="10.5703125" style="45" customWidth="1"/>
    <col min="14328" max="14328" width="4.85546875" style="45" customWidth="1"/>
    <col min="14329" max="14329" width="32.42578125" style="45" customWidth="1"/>
    <col min="14330" max="14330" width="9.85546875" style="45" customWidth="1"/>
    <col min="14331" max="14331" width="10.140625" style="45" customWidth="1"/>
    <col min="14332" max="14332" width="12.28515625" style="45" customWidth="1"/>
    <col min="14333" max="14333" width="15.42578125" style="45" customWidth="1"/>
    <col min="14334" max="14334" width="11.85546875" style="45" customWidth="1"/>
    <col min="14335" max="14335" width="13.28515625" style="45" customWidth="1"/>
    <col min="14336" max="14336" width="15.28515625" style="45" customWidth="1"/>
    <col min="14337" max="14337" width="11.85546875" style="45" customWidth="1"/>
    <col min="14338" max="14338" width="6.140625" style="45" customWidth="1"/>
    <col min="14339" max="14339" width="11.85546875" style="45" customWidth="1"/>
    <col min="14340" max="14340" width="9.42578125" style="45" customWidth="1"/>
    <col min="14341" max="14341" width="14.7109375" style="45" customWidth="1"/>
    <col min="14342" max="14342" width="11.5703125" style="45" customWidth="1"/>
    <col min="14343" max="14343" width="0.42578125" style="45" customWidth="1"/>
    <col min="14344" max="14344" width="10.5703125" style="45" bestFit="1" customWidth="1"/>
    <col min="14345" max="14345" width="12.28515625" style="45" customWidth="1"/>
    <col min="14346" max="14346" width="12.5703125" style="45" customWidth="1"/>
    <col min="14347" max="14347" width="10.5703125" style="45" customWidth="1"/>
    <col min="14348" max="14348" width="10.140625" style="45" customWidth="1"/>
    <col min="14349" max="14349" width="8.42578125" style="45" customWidth="1"/>
    <col min="14350" max="14350" width="18.85546875" style="45" customWidth="1"/>
    <col min="14351" max="14351" width="10.28515625" style="45" customWidth="1"/>
    <col min="14352" max="14352" width="11.42578125" style="45"/>
    <col min="14353" max="14353" width="12.140625" style="45" customWidth="1"/>
    <col min="14354" max="14354" width="10.5703125" style="45" customWidth="1"/>
    <col min="14355" max="14355" width="12.42578125" style="45" customWidth="1"/>
    <col min="14356" max="14356" width="15.140625" style="45" customWidth="1"/>
    <col min="14357" max="14357" width="13.5703125" style="45" customWidth="1"/>
    <col min="14358" max="14358" width="13.140625" style="45" customWidth="1"/>
    <col min="14359" max="14359" width="15.7109375" style="45" customWidth="1"/>
    <col min="14360" max="14360" width="37.5703125" style="45" customWidth="1"/>
    <col min="14361" max="14582" width="11.42578125" style="45"/>
    <col min="14583" max="14583" width="10.5703125" style="45" customWidth="1"/>
    <col min="14584" max="14584" width="4.85546875" style="45" customWidth="1"/>
    <col min="14585" max="14585" width="32.42578125" style="45" customWidth="1"/>
    <col min="14586" max="14586" width="9.85546875" style="45" customWidth="1"/>
    <col min="14587" max="14587" width="10.140625" style="45" customWidth="1"/>
    <col min="14588" max="14588" width="12.28515625" style="45" customWidth="1"/>
    <col min="14589" max="14589" width="15.42578125" style="45" customWidth="1"/>
    <col min="14590" max="14590" width="11.85546875" style="45" customWidth="1"/>
    <col min="14591" max="14591" width="13.28515625" style="45" customWidth="1"/>
    <col min="14592" max="14592" width="15.28515625" style="45" customWidth="1"/>
    <col min="14593" max="14593" width="11.85546875" style="45" customWidth="1"/>
    <col min="14594" max="14594" width="6.140625" style="45" customWidth="1"/>
    <col min="14595" max="14595" width="11.85546875" style="45" customWidth="1"/>
    <col min="14596" max="14596" width="9.42578125" style="45" customWidth="1"/>
    <col min="14597" max="14597" width="14.7109375" style="45" customWidth="1"/>
    <col min="14598" max="14598" width="11.5703125" style="45" customWidth="1"/>
    <col min="14599" max="14599" width="0.42578125" style="45" customWidth="1"/>
    <col min="14600" max="14600" width="10.5703125" style="45" bestFit="1" customWidth="1"/>
    <col min="14601" max="14601" width="12.28515625" style="45" customWidth="1"/>
    <col min="14602" max="14602" width="12.5703125" style="45" customWidth="1"/>
    <col min="14603" max="14603" width="10.5703125" style="45" customWidth="1"/>
    <col min="14604" max="14604" width="10.140625" style="45" customWidth="1"/>
    <col min="14605" max="14605" width="8.42578125" style="45" customWidth="1"/>
    <col min="14606" max="14606" width="18.85546875" style="45" customWidth="1"/>
    <col min="14607" max="14607" width="10.28515625" style="45" customWidth="1"/>
    <col min="14608" max="14608" width="11.42578125" style="45"/>
    <col min="14609" max="14609" width="12.140625" style="45" customWidth="1"/>
    <col min="14610" max="14610" width="10.5703125" style="45" customWidth="1"/>
    <col min="14611" max="14611" width="12.42578125" style="45" customWidth="1"/>
    <col min="14612" max="14612" width="15.140625" style="45" customWidth="1"/>
    <col min="14613" max="14613" width="13.5703125" style="45" customWidth="1"/>
    <col min="14614" max="14614" width="13.140625" style="45" customWidth="1"/>
    <col min="14615" max="14615" width="15.7109375" style="45" customWidth="1"/>
    <col min="14616" max="14616" width="37.5703125" style="45" customWidth="1"/>
    <col min="14617" max="14838" width="11.42578125" style="45"/>
    <col min="14839" max="14839" width="10.5703125" style="45" customWidth="1"/>
    <col min="14840" max="14840" width="4.85546875" style="45" customWidth="1"/>
    <col min="14841" max="14841" width="32.42578125" style="45" customWidth="1"/>
    <col min="14842" max="14842" width="9.85546875" style="45" customWidth="1"/>
    <col min="14843" max="14843" width="10.140625" style="45" customWidth="1"/>
    <col min="14844" max="14844" width="12.28515625" style="45" customWidth="1"/>
    <col min="14845" max="14845" width="15.42578125" style="45" customWidth="1"/>
    <col min="14846" max="14846" width="11.85546875" style="45" customWidth="1"/>
    <col min="14847" max="14847" width="13.28515625" style="45" customWidth="1"/>
    <col min="14848" max="14848" width="15.28515625" style="45" customWidth="1"/>
    <col min="14849" max="14849" width="11.85546875" style="45" customWidth="1"/>
    <col min="14850" max="14850" width="6.140625" style="45" customWidth="1"/>
    <col min="14851" max="14851" width="11.85546875" style="45" customWidth="1"/>
    <col min="14852" max="14852" width="9.42578125" style="45" customWidth="1"/>
    <col min="14853" max="14853" width="14.7109375" style="45" customWidth="1"/>
    <col min="14854" max="14854" width="11.5703125" style="45" customWidth="1"/>
    <col min="14855" max="14855" width="0.42578125" style="45" customWidth="1"/>
    <col min="14856" max="14856" width="10.5703125" style="45" bestFit="1" customWidth="1"/>
    <col min="14857" max="14857" width="12.28515625" style="45" customWidth="1"/>
    <col min="14858" max="14858" width="12.5703125" style="45" customWidth="1"/>
    <col min="14859" max="14859" width="10.5703125" style="45" customWidth="1"/>
    <col min="14860" max="14860" width="10.140625" style="45" customWidth="1"/>
    <col min="14861" max="14861" width="8.42578125" style="45" customWidth="1"/>
    <col min="14862" max="14862" width="18.85546875" style="45" customWidth="1"/>
    <col min="14863" max="14863" width="10.28515625" style="45" customWidth="1"/>
    <col min="14864" max="14864" width="11.42578125" style="45"/>
    <col min="14865" max="14865" width="12.140625" style="45" customWidth="1"/>
    <col min="14866" max="14866" width="10.5703125" style="45" customWidth="1"/>
    <col min="14867" max="14867" width="12.42578125" style="45" customWidth="1"/>
    <col min="14868" max="14868" width="15.140625" style="45" customWidth="1"/>
    <col min="14869" max="14869" width="13.5703125" style="45" customWidth="1"/>
    <col min="14870" max="14870" width="13.140625" style="45" customWidth="1"/>
    <col min="14871" max="14871" width="15.7109375" style="45" customWidth="1"/>
    <col min="14872" max="14872" width="37.5703125" style="45" customWidth="1"/>
    <col min="14873" max="15094" width="11.42578125" style="45"/>
    <col min="15095" max="15095" width="10.5703125" style="45" customWidth="1"/>
    <col min="15096" max="15096" width="4.85546875" style="45" customWidth="1"/>
    <col min="15097" max="15097" width="32.42578125" style="45" customWidth="1"/>
    <col min="15098" max="15098" width="9.85546875" style="45" customWidth="1"/>
    <col min="15099" max="15099" width="10.140625" style="45" customWidth="1"/>
    <col min="15100" max="15100" width="12.28515625" style="45" customWidth="1"/>
    <col min="15101" max="15101" width="15.42578125" style="45" customWidth="1"/>
    <col min="15102" max="15102" width="11.85546875" style="45" customWidth="1"/>
    <col min="15103" max="15103" width="13.28515625" style="45" customWidth="1"/>
    <col min="15104" max="15104" width="15.28515625" style="45" customWidth="1"/>
    <col min="15105" max="15105" width="11.85546875" style="45" customWidth="1"/>
    <col min="15106" max="15106" width="6.140625" style="45" customWidth="1"/>
    <col min="15107" max="15107" width="11.85546875" style="45" customWidth="1"/>
    <col min="15108" max="15108" width="9.42578125" style="45" customWidth="1"/>
    <col min="15109" max="15109" width="14.7109375" style="45" customWidth="1"/>
    <col min="15110" max="15110" width="11.5703125" style="45" customWidth="1"/>
    <col min="15111" max="15111" width="0.42578125" style="45" customWidth="1"/>
    <col min="15112" max="15112" width="10.5703125" style="45" bestFit="1" customWidth="1"/>
    <col min="15113" max="15113" width="12.28515625" style="45" customWidth="1"/>
    <col min="15114" max="15114" width="12.5703125" style="45" customWidth="1"/>
    <col min="15115" max="15115" width="10.5703125" style="45" customWidth="1"/>
    <col min="15116" max="15116" width="10.140625" style="45" customWidth="1"/>
    <col min="15117" max="15117" width="8.42578125" style="45" customWidth="1"/>
    <col min="15118" max="15118" width="18.85546875" style="45" customWidth="1"/>
    <col min="15119" max="15119" width="10.28515625" style="45" customWidth="1"/>
    <col min="15120" max="15120" width="11.42578125" style="45"/>
    <col min="15121" max="15121" width="12.140625" style="45" customWidth="1"/>
    <col min="15122" max="15122" width="10.5703125" style="45" customWidth="1"/>
    <col min="15123" max="15123" width="12.42578125" style="45" customWidth="1"/>
    <col min="15124" max="15124" width="15.140625" style="45" customWidth="1"/>
    <col min="15125" max="15125" width="13.5703125" style="45" customWidth="1"/>
    <col min="15126" max="15126" width="13.140625" style="45" customWidth="1"/>
    <col min="15127" max="15127" width="15.7109375" style="45" customWidth="1"/>
    <col min="15128" max="15128" width="37.5703125" style="45" customWidth="1"/>
    <col min="15129" max="15350" width="11.42578125" style="45"/>
    <col min="15351" max="15351" width="10.5703125" style="45" customWidth="1"/>
    <col min="15352" max="15352" width="4.85546875" style="45" customWidth="1"/>
    <col min="15353" max="15353" width="32.42578125" style="45" customWidth="1"/>
    <col min="15354" max="15354" width="9.85546875" style="45" customWidth="1"/>
    <col min="15355" max="15355" width="10.140625" style="45" customWidth="1"/>
    <col min="15356" max="15356" width="12.28515625" style="45" customWidth="1"/>
    <col min="15357" max="15357" width="15.42578125" style="45" customWidth="1"/>
    <col min="15358" max="15358" width="11.85546875" style="45" customWidth="1"/>
    <col min="15359" max="15359" width="13.28515625" style="45" customWidth="1"/>
    <col min="15360" max="15360" width="15.28515625" style="45" customWidth="1"/>
    <col min="15361" max="15361" width="11.85546875" style="45" customWidth="1"/>
    <col min="15362" max="15362" width="6.140625" style="45" customWidth="1"/>
    <col min="15363" max="15363" width="11.85546875" style="45" customWidth="1"/>
    <col min="15364" max="15364" width="9.42578125" style="45" customWidth="1"/>
    <col min="15365" max="15365" width="14.7109375" style="45" customWidth="1"/>
    <col min="15366" max="15366" width="11.5703125" style="45" customWidth="1"/>
    <col min="15367" max="15367" width="0.42578125" style="45" customWidth="1"/>
    <col min="15368" max="15368" width="10.5703125" style="45" bestFit="1" customWidth="1"/>
    <col min="15369" max="15369" width="12.28515625" style="45" customWidth="1"/>
    <col min="15370" max="15370" width="12.5703125" style="45" customWidth="1"/>
    <col min="15371" max="15371" width="10.5703125" style="45" customWidth="1"/>
    <col min="15372" max="15372" width="10.140625" style="45" customWidth="1"/>
    <col min="15373" max="15373" width="8.42578125" style="45" customWidth="1"/>
    <col min="15374" max="15374" width="18.85546875" style="45" customWidth="1"/>
    <col min="15375" max="15375" width="10.28515625" style="45" customWidth="1"/>
    <col min="15376" max="15376" width="11.42578125" style="45"/>
    <col min="15377" max="15377" width="12.140625" style="45" customWidth="1"/>
    <col min="15378" max="15378" width="10.5703125" style="45" customWidth="1"/>
    <col min="15379" max="15379" width="12.42578125" style="45" customWidth="1"/>
    <col min="15380" max="15380" width="15.140625" style="45" customWidth="1"/>
    <col min="15381" max="15381" width="13.5703125" style="45" customWidth="1"/>
    <col min="15382" max="15382" width="13.140625" style="45" customWidth="1"/>
    <col min="15383" max="15383" width="15.7109375" style="45" customWidth="1"/>
    <col min="15384" max="15384" width="37.5703125" style="45" customWidth="1"/>
    <col min="15385" max="15606" width="11.42578125" style="45"/>
    <col min="15607" max="15607" width="10.5703125" style="45" customWidth="1"/>
    <col min="15608" max="15608" width="4.85546875" style="45" customWidth="1"/>
    <col min="15609" max="15609" width="32.42578125" style="45" customWidth="1"/>
    <col min="15610" max="15610" width="9.85546875" style="45" customWidth="1"/>
    <col min="15611" max="15611" width="10.140625" style="45" customWidth="1"/>
    <col min="15612" max="15612" width="12.28515625" style="45" customWidth="1"/>
    <col min="15613" max="15613" width="15.42578125" style="45" customWidth="1"/>
    <col min="15614" max="15614" width="11.85546875" style="45" customWidth="1"/>
    <col min="15615" max="15615" width="13.28515625" style="45" customWidth="1"/>
    <col min="15616" max="15616" width="15.28515625" style="45" customWidth="1"/>
    <col min="15617" max="15617" width="11.85546875" style="45" customWidth="1"/>
    <col min="15618" max="15618" width="6.140625" style="45" customWidth="1"/>
    <col min="15619" max="15619" width="11.85546875" style="45" customWidth="1"/>
    <col min="15620" max="15620" width="9.42578125" style="45" customWidth="1"/>
    <col min="15621" max="15621" width="14.7109375" style="45" customWidth="1"/>
    <col min="15622" max="15622" width="11.5703125" style="45" customWidth="1"/>
    <col min="15623" max="15623" width="0.42578125" style="45" customWidth="1"/>
    <col min="15624" max="15624" width="10.5703125" style="45" bestFit="1" customWidth="1"/>
    <col min="15625" max="15625" width="12.28515625" style="45" customWidth="1"/>
    <col min="15626" max="15626" width="12.5703125" style="45" customWidth="1"/>
    <col min="15627" max="15627" width="10.5703125" style="45" customWidth="1"/>
    <col min="15628" max="15628" width="10.140625" style="45" customWidth="1"/>
    <col min="15629" max="15629" width="8.42578125" style="45" customWidth="1"/>
    <col min="15630" max="15630" width="18.85546875" style="45" customWidth="1"/>
    <col min="15631" max="15631" width="10.28515625" style="45" customWidth="1"/>
    <col min="15632" max="15632" width="11.42578125" style="45"/>
    <col min="15633" max="15633" width="12.140625" style="45" customWidth="1"/>
    <col min="15634" max="15634" width="10.5703125" style="45" customWidth="1"/>
    <col min="15635" max="15635" width="12.42578125" style="45" customWidth="1"/>
    <col min="15636" max="15636" width="15.140625" style="45" customWidth="1"/>
    <col min="15637" max="15637" width="13.5703125" style="45" customWidth="1"/>
    <col min="15638" max="15638" width="13.140625" style="45" customWidth="1"/>
    <col min="15639" max="15639" width="15.7109375" style="45" customWidth="1"/>
    <col min="15640" max="15640" width="37.5703125" style="45" customWidth="1"/>
    <col min="15641" max="15862" width="11.42578125" style="45"/>
    <col min="15863" max="15863" width="10.5703125" style="45" customWidth="1"/>
    <col min="15864" max="15864" width="4.85546875" style="45" customWidth="1"/>
    <col min="15865" max="15865" width="32.42578125" style="45" customWidth="1"/>
    <col min="15866" max="15866" width="9.85546875" style="45" customWidth="1"/>
    <col min="15867" max="15867" width="10.140625" style="45" customWidth="1"/>
    <col min="15868" max="15868" width="12.28515625" style="45" customWidth="1"/>
    <col min="15869" max="15869" width="15.42578125" style="45" customWidth="1"/>
    <col min="15870" max="15870" width="11.85546875" style="45" customWidth="1"/>
    <col min="15871" max="15871" width="13.28515625" style="45" customWidth="1"/>
    <col min="15872" max="15872" width="15.28515625" style="45" customWidth="1"/>
    <col min="15873" max="15873" width="11.85546875" style="45" customWidth="1"/>
    <col min="15874" max="15874" width="6.140625" style="45" customWidth="1"/>
    <col min="15875" max="15875" width="11.85546875" style="45" customWidth="1"/>
    <col min="15876" max="15876" width="9.42578125" style="45" customWidth="1"/>
    <col min="15877" max="15877" width="14.7109375" style="45" customWidth="1"/>
    <col min="15878" max="15878" width="11.5703125" style="45" customWidth="1"/>
    <col min="15879" max="15879" width="0.42578125" style="45" customWidth="1"/>
    <col min="15880" max="15880" width="10.5703125" style="45" bestFit="1" customWidth="1"/>
    <col min="15881" max="15881" width="12.28515625" style="45" customWidth="1"/>
    <col min="15882" max="15882" width="12.5703125" style="45" customWidth="1"/>
    <col min="15883" max="15883" width="10.5703125" style="45" customWidth="1"/>
    <col min="15884" max="15884" width="10.140625" style="45" customWidth="1"/>
    <col min="15885" max="15885" width="8.42578125" style="45" customWidth="1"/>
    <col min="15886" max="15886" width="18.85546875" style="45" customWidth="1"/>
    <col min="15887" max="15887" width="10.28515625" style="45" customWidth="1"/>
    <col min="15888" max="15888" width="11.42578125" style="45"/>
    <col min="15889" max="15889" width="12.140625" style="45" customWidth="1"/>
    <col min="15890" max="15890" width="10.5703125" style="45" customWidth="1"/>
    <col min="15891" max="15891" width="12.42578125" style="45" customWidth="1"/>
    <col min="15892" max="15892" width="15.140625" style="45" customWidth="1"/>
    <col min="15893" max="15893" width="13.5703125" style="45" customWidth="1"/>
    <col min="15894" max="15894" width="13.140625" style="45" customWidth="1"/>
    <col min="15895" max="15895" width="15.7109375" style="45" customWidth="1"/>
    <col min="15896" max="15896" width="37.5703125" style="45" customWidth="1"/>
    <col min="15897" max="16118" width="11.42578125" style="45"/>
    <col min="16119" max="16119" width="10.5703125" style="45" customWidth="1"/>
    <col min="16120" max="16120" width="4.85546875" style="45" customWidth="1"/>
    <col min="16121" max="16121" width="32.42578125" style="45" customWidth="1"/>
    <col min="16122" max="16122" width="9.85546875" style="45" customWidth="1"/>
    <col min="16123" max="16123" width="10.140625" style="45" customWidth="1"/>
    <col min="16124" max="16124" width="12.28515625" style="45" customWidth="1"/>
    <col min="16125" max="16125" width="15.42578125" style="45" customWidth="1"/>
    <col min="16126" max="16126" width="11.85546875" style="45" customWidth="1"/>
    <col min="16127" max="16127" width="13.28515625" style="45" customWidth="1"/>
    <col min="16128" max="16128" width="15.28515625" style="45" customWidth="1"/>
    <col min="16129" max="16129" width="11.85546875" style="45" customWidth="1"/>
    <col min="16130" max="16130" width="6.140625" style="45" customWidth="1"/>
    <col min="16131" max="16131" width="11.85546875" style="45" customWidth="1"/>
    <col min="16132" max="16132" width="9.42578125" style="45" customWidth="1"/>
    <col min="16133" max="16133" width="14.7109375" style="45" customWidth="1"/>
    <col min="16134" max="16134" width="11.5703125" style="45" customWidth="1"/>
    <col min="16135" max="16135" width="0.42578125" style="45" customWidth="1"/>
    <col min="16136" max="16136" width="10.5703125" style="45" bestFit="1" customWidth="1"/>
    <col min="16137" max="16137" width="12.28515625" style="45" customWidth="1"/>
    <col min="16138" max="16138" width="12.5703125" style="45" customWidth="1"/>
    <col min="16139" max="16139" width="10.5703125" style="45" customWidth="1"/>
    <col min="16140" max="16140" width="10.140625" style="45" customWidth="1"/>
    <col min="16141" max="16141" width="8.42578125" style="45" customWidth="1"/>
    <col min="16142" max="16142" width="18.85546875" style="45" customWidth="1"/>
    <col min="16143" max="16143" width="10.28515625" style="45" customWidth="1"/>
    <col min="16144" max="16144" width="11.42578125" style="45"/>
    <col min="16145" max="16145" width="12.140625" style="45" customWidth="1"/>
    <col min="16146" max="16146" width="10.5703125" style="45" customWidth="1"/>
    <col min="16147" max="16147" width="12.42578125" style="45" customWidth="1"/>
    <col min="16148" max="16148" width="15.140625" style="45" customWidth="1"/>
    <col min="16149" max="16149" width="13.5703125" style="45" customWidth="1"/>
    <col min="16150" max="16150" width="13.140625" style="45" customWidth="1"/>
    <col min="16151" max="16151" width="15.7109375" style="45" customWidth="1"/>
    <col min="16152" max="16152" width="37.5703125" style="45" customWidth="1"/>
    <col min="16153" max="16384" width="11.42578125" style="45"/>
  </cols>
  <sheetData>
    <row r="1" spans="1:24" x14ac:dyDescent="0.25">
      <c r="C1" s="87" t="s">
        <v>187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4"/>
      <c r="W1" s="44"/>
      <c r="X1" s="4"/>
    </row>
    <row r="2" spans="1:24" x14ac:dyDescent="0.25">
      <c r="C2" s="3" t="s">
        <v>1</v>
      </c>
      <c r="D2" s="4"/>
      <c r="E2" s="88" t="s">
        <v>2</v>
      </c>
      <c r="F2" s="88"/>
      <c r="G2" s="88"/>
      <c r="H2" s="88"/>
      <c r="I2" s="88"/>
      <c r="J2" s="88"/>
      <c r="K2" s="88"/>
      <c r="L2" s="88" t="s">
        <v>3</v>
      </c>
      <c r="M2" s="88"/>
      <c r="N2" s="88"/>
      <c r="O2" s="88"/>
      <c r="P2" s="88"/>
      <c r="Q2" s="88"/>
      <c r="R2" s="88"/>
      <c r="S2" s="88"/>
      <c r="T2" s="88"/>
      <c r="U2" s="4"/>
      <c r="V2" s="4"/>
      <c r="W2" s="44"/>
      <c r="X2" s="4"/>
    </row>
    <row r="3" spans="1:24" ht="39" customHeight="1" x14ac:dyDescent="0.25">
      <c r="A3" s="89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162</v>
      </c>
      <c r="K3" s="12" t="s">
        <v>14</v>
      </c>
      <c r="L3" s="12" t="s">
        <v>15</v>
      </c>
      <c r="M3" s="12" t="s">
        <v>16</v>
      </c>
      <c r="N3" s="12" t="s">
        <v>17</v>
      </c>
      <c r="O3" s="12" t="s">
        <v>181</v>
      </c>
      <c r="P3" s="12" t="s">
        <v>19</v>
      </c>
      <c r="Q3" s="12" t="s">
        <v>20</v>
      </c>
      <c r="R3" s="12" t="s">
        <v>21</v>
      </c>
      <c r="S3" s="12" t="s">
        <v>22</v>
      </c>
      <c r="T3" s="12" t="s">
        <v>23</v>
      </c>
      <c r="U3" s="6" t="s">
        <v>24</v>
      </c>
      <c r="V3" s="6"/>
      <c r="W3" s="46"/>
      <c r="X3" s="6" t="s">
        <v>188</v>
      </c>
    </row>
    <row r="4" spans="1:24" x14ac:dyDescent="0.25">
      <c r="A4" s="90"/>
      <c r="B4" s="6">
        <v>1</v>
      </c>
      <c r="C4" s="11" t="s">
        <v>26</v>
      </c>
      <c r="D4" s="6" t="s">
        <v>27</v>
      </c>
      <c r="E4" s="5">
        <v>5250000</v>
      </c>
      <c r="F4" s="12">
        <v>30</v>
      </c>
      <c r="G4" s="5">
        <v>3850000</v>
      </c>
      <c r="H4" s="5"/>
      <c r="I4" s="5"/>
      <c r="J4" s="5">
        <f>+E4-G4</f>
        <v>1400000</v>
      </c>
      <c r="K4" s="5">
        <f t="shared" ref="K4:K33" si="0">SUM(G4:I4)+J4</f>
        <v>5250000</v>
      </c>
      <c r="L4" s="5">
        <f>+E4*4%</f>
        <v>210000</v>
      </c>
      <c r="M4" s="5">
        <f>+E4*5%</f>
        <v>262500</v>
      </c>
      <c r="N4" s="5"/>
      <c r="O4" s="5"/>
      <c r="P4" s="5">
        <v>32000</v>
      </c>
      <c r="Q4" s="5"/>
      <c r="R4" s="5"/>
      <c r="S4" s="5"/>
      <c r="T4" s="5">
        <f t="shared" ref="T4:T45" si="1">SUM(L4:S4)</f>
        <v>504500</v>
      </c>
      <c r="U4" s="7">
        <f t="shared" ref="U4:U9" si="2">+K4-T4</f>
        <v>4745500</v>
      </c>
      <c r="V4" s="7"/>
      <c r="W4" s="44"/>
      <c r="X4" s="7">
        <f>U4+V4-W4</f>
        <v>4745500</v>
      </c>
    </row>
    <row r="5" spans="1:24" ht="24" x14ac:dyDescent="0.25">
      <c r="A5" s="90"/>
      <c r="B5" s="6">
        <v>2</v>
      </c>
      <c r="C5" s="11" t="s">
        <v>28</v>
      </c>
      <c r="D5" s="6" t="s">
        <v>27</v>
      </c>
      <c r="E5" s="5">
        <v>4500000</v>
      </c>
      <c r="F5" s="12">
        <v>30</v>
      </c>
      <c r="G5" s="5">
        <f>+E5-J5</f>
        <v>4500000</v>
      </c>
      <c r="H5" s="5"/>
      <c r="I5" s="5">
        <v>500000</v>
      </c>
      <c r="J5" s="5"/>
      <c r="K5" s="5">
        <f t="shared" si="0"/>
        <v>5000000</v>
      </c>
      <c r="L5" s="5">
        <f>+E5*4%</f>
        <v>180000</v>
      </c>
      <c r="M5" s="5">
        <f>+E5*5%</f>
        <v>225000</v>
      </c>
      <c r="N5" s="5"/>
      <c r="O5" s="5"/>
      <c r="P5" s="5">
        <v>79773</v>
      </c>
      <c r="Q5" s="5"/>
      <c r="R5" s="5"/>
      <c r="S5" s="5"/>
      <c r="T5" s="5">
        <f>SUM(L5:S5)</f>
        <v>484773</v>
      </c>
      <c r="U5" s="7">
        <f t="shared" si="2"/>
        <v>4515227</v>
      </c>
      <c r="V5" s="7"/>
      <c r="W5" s="44"/>
      <c r="X5" s="7">
        <f t="shared" ref="X5:X68" si="3">U5+V5-W5</f>
        <v>4515227</v>
      </c>
    </row>
    <row r="6" spans="1:24" ht="22.5" customHeight="1" x14ac:dyDescent="0.25">
      <c r="A6" s="90"/>
      <c r="B6" s="6">
        <v>3</v>
      </c>
      <c r="C6" s="11" t="s">
        <v>29</v>
      </c>
      <c r="D6" s="6" t="s">
        <v>27</v>
      </c>
      <c r="E6" s="5">
        <v>5500000</v>
      </c>
      <c r="F6" s="12">
        <v>30</v>
      </c>
      <c r="G6" s="5">
        <f>+E6-J6</f>
        <v>5500000</v>
      </c>
      <c r="H6" s="5"/>
      <c r="I6" s="5">
        <v>500000</v>
      </c>
      <c r="J6" s="5">
        <v>0</v>
      </c>
      <c r="K6" s="5">
        <f t="shared" si="0"/>
        <v>6000000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1"/>
        <v>597000</v>
      </c>
      <c r="U6" s="7">
        <f t="shared" si="2"/>
        <v>5403000</v>
      </c>
      <c r="V6" s="7"/>
      <c r="W6" s="44"/>
      <c r="X6" s="7">
        <f t="shared" si="3"/>
        <v>5403000</v>
      </c>
    </row>
    <row r="7" spans="1:24" ht="22.5" customHeight="1" x14ac:dyDescent="0.25">
      <c r="A7" s="90"/>
      <c r="B7" s="6">
        <v>4</v>
      </c>
      <c r="C7" s="11" t="s">
        <v>30</v>
      </c>
      <c r="D7" s="6" t="s">
        <v>27</v>
      </c>
      <c r="E7" s="5">
        <v>5492319</v>
      </c>
      <c r="F7" s="12">
        <v>30</v>
      </c>
      <c r="G7" s="5">
        <f>+E7-H7</f>
        <v>5492319</v>
      </c>
      <c r="H7" s="5"/>
      <c r="I7" s="5"/>
      <c r="J7" s="5"/>
      <c r="K7" s="5">
        <f t="shared" ref="K7" si="4">SUM(G7:I7)+J7</f>
        <v>5492319</v>
      </c>
      <c r="L7" s="5">
        <f>+K7*4%</f>
        <v>219692.76</v>
      </c>
      <c r="M7" s="5">
        <f>+K7*5%</f>
        <v>274615.95</v>
      </c>
      <c r="N7" s="5"/>
      <c r="O7" s="5"/>
      <c r="P7" s="17">
        <v>98000</v>
      </c>
      <c r="Q7" s="5"/>
      <c r="R7" s="5"/>
      <c r="S7" s="5">
        <v>726520</v>
      </c>
      <c r="T7" s="5">
        <f t="shared" ref="T7" si="5">SUM(L7:S7)</f>
        <v>1318828.71</v>
      </c>
      <c r="U7" s="7">
        <f t="shared" si="2"/>
        <v>4173490.29</v>
      </c>
      <c r="V7" s="7"/>
      <c r="W7" s="44"/>
      <c r="X7" s="7">
        <f t="shared" si="3"/>
        <v>4173490.29</v>
      </c>
    </row>
    <row r="8" spans="1:24" ht="26.25" customHeight="1" x14ac:dyDescent="0.25">
      <c r="A8" s="90"/>
      <c r="B8" s="6">
        <v>5</v>
      </c>
      <c r="C8" s="11" t="s">
        <v>142</v>
      </c>
      <c r="D8" s="6" t="s">
        <v>27</v>
      </c>
      <c r="E8" s="5">
        <v>5000000</v>
      </c>
      <c r="F8" s="12">
        <v>30</v>
      </c>
      <c r="G8" s="5">
        <f t="shared" ref="G8:G9" si="6">+E8/30*F8</f>
        <v>5000000</v>
      </c>
      <c r="H8" s="5"/>
      <c r="I8" s="5"/>
      <c r="J8" s="5"/>
      <c r="K8" s="5">
        <f t="shared" si="0"/>
        <v>5000000</v>
      </c>
      <c r="L8" s="5">
        <f>+K8*4%</f>
        <v>200000</v>
      </c>
      <c r="M8" s="5">
        <f>+K8*5%</f>
        <v>250000</v>
      </c>
      <c r="N8" s="5"/>
      <c r="O8" s="5"/>
      <c r="P8" s="17">
        <v>15000</v>
      </c>
      <c r="Q8" s="5">
        <v>500000</v>
      </c>
      <c r="R8" s="5">
        <v>111000</v>
      </c>
      <c r="S8" s="5"/>
      <c r="T8" s="5">
        <f>SUM(L8:S8)</f>
        <v>1076000</v>
      </c>
      <c r="U8" s="7">
        <f t="shared" si="2"/>
        <v>3924000</v>
      </c>
      <c r="V8" s="7"/>
      <c r="W8" s="44"/>
      <c r="X8" s="7">
        <f t="shared" si="3"/>
        <v>3924000</v>
      </c>
    </row>
    <row r="9" spans="1:24" x14ac:dyDescent="0.25">
      <c r="A9" s="90"/>
      <c r="B9" s="6">
        <v>6</v>
      </c>
      <c r="C9" s="11" t="s">
        <v>31</v>
      </c>
      <c r="D9" s="6" t="s">
        <v>27</v>
      </c>
      <c r="E9" s="5">
        <v>5000000</v>
      </c>
      <c r="F9" s="12">
        <v>30</v>
      </c>
      <c r="G9" s="5">
        <f t="shared" si="6"/>
        <v>5000000</v>
      </c>
      <c r="H9" s="5"/>
      <c r="I9" s="5">
        <v>2012670</v>
      </c>
      <c r="J9" s="5"/>
      <c r="K9" s="5">
        <f t="shared" si="0"/>
        <v>7012670</v>
      </c>
      <c r="L9" s="5">
        <f>+G9*4%</f>
        <v>200000</v>
      </c>
      <c r="M9" s="5">
        <f t="shared" ref="M9:M33" si="7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1"/>
        <v>1200000</v>
      </c>
      <c r="U9" s="7">
        <f t="shared" si="2"/>
        <v>5812670</v>
      </c>
      <c r="V9" s="7"/>
      <c r="W9" s="44"/>
      <c r="X9" s="7">
        <f t="shared" si="3"/>
        <v>5812670</v>
      </c>
    </row>
    <row r="10" spans="1:24" x14ac:dyDescent="0.25">
      <c r="A10" s="90"/>
      <c r="B10" s="6">
        <v>7</v>
      </c>
      <c r="C10" s="11" t="s">
        <v>32</v>
      </c>
      <c r="D10" s="6" t="s">
        <v>27</v>
      </c>
      <c r="E10" s="5">
        <v>4500000</v>
      </c>
      <c r="F10" s="12">
        <v>30</v>
      </c>
      <c r="G10" s="5">
        <f>E10/30*F10</f>
        <v>4500000</v>
      </c>
      <c r="H10" s="5"/>
      <c r="I10" s="5"/>
      <c r="J10" s="5">
        <v>0</v>
      </c>
      <c r="K10" s="5">
        <f t="shared" si="0"/>
        <v>4500000</v>
      </c>
      <c r="L10" s="5">
        <f>+K10*4%</f>
        <v>180000</v>
      </c>
      <c r="M10" s="5">
        <f>+K10*5%</f>
        <v>225000</v>
      </c>
      <c r="N10" s="5">
        <v>140000</v>
      </c>
      <c r="O10" s="5"/>
      <c r="P10" s="5">
        <v>2545</v>
      </c>
      <c r="Q10" s="5"/>
      <c r="R10" s="5"/>
      <c r="S10" s="5">
        <f>945750+420786</f>
        <v>1366536</v>
      </c>
      <c r="T10" s="5">
        <f t="shared" si="1"/>
        <v>1914081</v>
      </c>
      <c r="U10" s="7">
        <f>K10-T10</f>
        <v>2585919</v>
      </c>
      <c r="V10" s="7"/>
      <c r="W10" s="44"/>
      <c r="X10" s="7">
        <f t="shared" si="3"/>
        <v>2585919</v>
      </c>
    </row>
    <row r="11" spans="1:24" x14ac:dyDescent="0.25">
      <c r="A11" s="90"/>
      <c r="B11" s="6">
        <v>8</v>
      </c>
      <c r="C11" s="11" t="s">
        <v>33</v>
      </c>
      <c r="D11" s="6" t="s">
        <v>27</v>
      </c>
      <c r="E11" s="5">
        <v>4500000</v>
      </c>
      <c r="F11" s="12">
        <v>30</v>
      </c>
      <c r="G11" s="5">
        <f>E11/30*F11</f>
        <v>4500000</v>
      </c>
      <c r="H11" s="5"/>
      <c r="I11" s="5"/>
      <c r="J11" s="5"/>
      <c r="K11" s="5">
        <f t="shared" ref="K11" si="8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" si="9">SUM(L11:S11)</f>
        <v>415000</v>
      </c>
      <c r="U11" s="7">
        <f>K11-T11</f>
        <v>4085000</v>
      </c>
      <c r="V11" s="7"/>
      <c r="W11" s="44"/>
      <c r="X11" s="7">
        <f t="shared" si="3"/>
        <v>4085000</v>
      </c>
    </row>
    <row r="12" spans="1:24" x14ac:dyDescent="0.25">
      <c r="A12" s="90"/>
      <c r="B12" s="6">
        <v>9</v>
      </c>
      <c r="C12" s="11" t="s">
        <v>36</v>
      </c>
      <c r="D12" s="6" t="s">
        <v>27</v>
      </c>
      <c r="E12" s="5">
        <v>5400000</v>
      </c>
      <c r="F12" s="12">
        <v>30</v>
      </c>
      <c r="G12" s="5">
        <f>E12/30*F12</f>
        <v>5400000</v>
      </c>
      <c r="H12" s="5"/>
      <c r="I12" s="5"/>
      <c r="J12" s="5"/>
      <c r="K12" s="5">
        <f>SUM(G12:I12)+J12</f>
        <v>5400000</v>
      </c>
      <c r="L12" s="5">
        <f>+G12*4%</f>
        <v>216000</v>
      </c>
      <c r="M12" s="5">
        <f>+G12*5%</f>
        <v>270000</v>
      </c>
      <c r="N12" s="5"/>
      <c r="O12" s="5"/>
      <c r="P12" s="5">
        <v>6500</v>
      </c>
      <c r="Q12" s="5"/>
      <c r="R12" s="5"/>
      <c r="S12" s="5"/>
      <c r="T12" s="5">
        <f t="shared" si="1"/>
        <v>492500</v>
      </c>
      <c r="U12" s="7">
        <f t="shared" ref="U12:U18" si="10">+K12-T12</f>
        <v>4907500</v>
      </c>
      <c r="V12" s="7"/>
      <c r="W12" s="44"/>
      <c r="X12" s="7">
        <f t="shared" si="3"/>
        <v>4907500</v>
      </c>
    </row>
    <row r="13" spans="1:24" x14ac:dyDescent="0.25">
      <c r="A13" s="90"/>
      <c r="B13" s="6">
        <v>10</v>
      </c>
      <c r="C13" s="11" t="s">
        <v>174</v>
      </c>
      <c r="D13" s="6" t="s">
        <v>27</v>
      </c>
      <c r="E13" s="5">
        <v>4500000</v>
      </c>
      <c r="F13" s="12">
        <v>30</v>
      </c>
      <c r="G13" s="5">
        <f t="shared" ref="G13:G18" si="11">+E13/30*F13</f>
        <v>4500000</v>
      </c>
      <c r="H13" s="5"/>
      <c r="I13" s="5"/>
      <c r="J13" s="5"/>
      <c r="K13" s="5">
        <f t="shared" ref="K13" si="12">SUM(G13:I13)+J13</f>
        <v>4500000</v>
      </c>
      <c r="L13" s="5">
        <f>+G13*4%</f>
        <v>180000</v>
      </c>
      <c r="M13" s="5">
        <f>+G13*5%</f>
        <v>225000</v>
      </c>
      <c r="N13" s="5"/>
      <c r="O13" s="5"/>
      <c r="P13" s="17">
        <v>2800</v>
      </c>
      <c r="Q13" s="5"/>
      <c r="R13" s="5"/>
      <c r="S13" s="5"/>
      <c r="T13" s="5">
        <f t="shared" ref="T13" si="13">SUM(L13:S13)</f>
        <v>407800</v>
      </c>
      <c r="U13" s="7">
        <f t="shared" si="10"/>
        <v>4092200</v>
      </c>
      <c r="V13" s="7"/>
      <c r="W13" s="44"/>
      <c r="X13" s="7">
        <f t="shared" si="3"/>
        <v>4092200</v>
      </c>
    </row>
    <row r="14" spans="1:24" x14ac:dyDescent="0.25">
      <c r="A14" s="90"/>
      <c r="B14" s="6">
        <v>11</v>
      </c>
      <c r="C14" s="3" t="s">
        <v>37</v>
      </c>
      <c r="D14" s="4" t="s">
        <v>27</v>
      </c>
      <c r="E14" s="5">
        <v>4500000</v>
      </c>
      <c r="F14" s="12">
        <v>30</v>
      </c>
      <c r="G14" s="5">
        <f t="shared" si="11"/>
        <v>4500000</v>
      </c>
      <c r="H14" s="5"/>
      <c r="I14" s="5"/>
      <c r="J14" s="5"/>
      <c r="K14" s="5">
        <f t="shared" si="0"/>
        <v>4500000</v>
      </c>
      <c r="L14" s="5">
        <v>180000</v>
      </c>
      <c r="M14" s="5">
        <v>225000</v>
      </c>
      <c r="N14" s="5"/>
      <c r="O14" s="5"/>
      <c r="P14" s="5">
        <v>3000</v>
      </c>
      <c r="Q14" s="5"/>
      <c r="R14" s="5"/>
      <c r="S14" s="5"/>
      <c r="T14" s="5">
        <f t="shared" si="1"/>
        <v>408000</v>
      </c>
      <c r="U14" s="7">
        <f t="shared" si="10"/>
        <v>4092000</v>
      </c>
      <c r="V14" s="7"/>
      <c r="W14" s="44"/>
      <c r="X14" s="7">
        <f t="shared" si="3"/>
        <v>4092000</v>
      </c>
    </row>
    <row r="15" spans="1:24" x14ac:dyDescent="0.25">
      <c r="A15" s="90"/>
      <c r="B15" s="6">
        <v>12</v>
      </c>
      <c r="C15" s="3" t="s">
        <v>38</v>
      </c>
      <c r="D15" s="4" t="s">
        <v>27</v>
      </c>
      <c r="E15" s="5">
        <v>4500000</v>
      </c>
      <c r="F15" s="12">
        <v>30</v>
      </c>
      <c r="G15" s="5">
        <f t="shared" si="11"/>
        <v>4500000</v>
      </c>
      <c r="H15" s="5"/>
      <c r="I15" s="5"/>
      <c r="J15" s="5"/>
      <c r="K15" s="5">
        <f t="shared" ref="K15:K17" si="14">SUM(G15:I15)+J15</f>
        <v>4500000</v>
      </c>
      <c r="L15" s="5">
        <f>+G15*4%</f>
        <v>180000</v>
      </c>
      <c r="M15" s="5">
        <f>+G15*5%</f>
        <v>225000</v>
      </c>
      <c r="N15" s="5"/>
      <c r="O15" s="5"/>
      <c r="P15" s="5">
        <v>72000</v>
      </c>
      <c r="Q15" s="5"/>
      <c r="R15" s="5"/>
      <c r="S15" s="5">
        <v>838529</v>
      </c>
      <c r="T15" s="5">
        <f>SUM(L15:S15)</f>
        <v>1315529</v>
      </c>
      <c r="U15" s="7">
        <f>+K15-T15</f>
        <v>3184471</v>
      </c>
      <c r="V15" s="7"/>
      <c r="W15" s="44"/>
      <c r="X15" s="7">
        <f t="shared" si="3"/>
        <v>3184471</v>
      </c>
    </row>
    <row r="16" spans="1:24" ht="18.75" customHeight="1" x14ac:dyDescent="0.25">
      <c r="A16" s="90"/>
      <c r="B16" s="6">
        <v>13</v>
      </c>
      <c r="C16" s="3" t="s">
        <v>39</v>
      </c>
      <c r="D16" s="4" t="s">
        <v>35</v>
      </c>
      <c r="E16" s="5">
        <v>4000000</v>
      </c>
      <c r="F16" s="12">
        <v>30</v>
      </c>
      <c r="G16" s="5">
        <f t="shared" si="11"/>
        <v>4000000.0000000005</v>
      </c>
      <c r="H16" s="5"/>
      <c r="I16" s="5"/>
      <c r="J16" s="5"/>
      <c r="K16" s="5">
        <f t="shared" si="14"/>
        <v>4000000.0000000005</v>
      </c>
      <c r="L16" s="5">
        <v>160000</v>
      </c>
      <c r="M16" s="5">
        <v>200000</v>
      </c>
      <c r="N16" s="5"/>
      <c r="O16" s="5"/>
      <c r="P16" s="5">
        <v>4500</v>
      </c>
      <c r="Q16" s="5"/>
      <c r="R16" s="5"/>
      <c r="S16" s="5"/>
      <c r="T16" s="5">
        <f t="shared" ref="T16:T17" si="15">SUM(L16:S16)</f>
        <v>364500</v>
      </c>
      <c r="U16" s="7">
        <f t="shared" ref="U16:U17" si="16">+K16-T16</f>
        <v>3635500.0000000005</v>
      </c>
      <c r="V16" s="7"/>
      <c r="W16" s="44"/>
      <c r="X16" s="7">
        <f t="shared" si="3"/>
        <v>3635500.0000000005</v>
      </c>
    </row>
    <row r="17" spans="1:24" ht="16.5" customHeight="1" x14ac:dyDescent="0.25">
      <c r="A17" s="90"/>
      <c r="B17" s="6">
        <v>14</v>
      </c>
      <c r="C17" s="3" t="s">
        <v>40</v>
      </c>
      <c r="D17" s="4" t="s">
        <v>35</v>
      </c>
      <c r="E17" s="5">
        <v>4500000</v>
      </c>
      <c r="F17" s="12">
        <v>30</v>
      </c>
      <c r="G17" s="5">
        <f t="shared" si="11"/>
        <v>4500000</v>
      </c>
      <c r="H17" s="5"/>
      <c r="I17" s="5"/>
      <c r="J17" s="5"/>
      <c r="K17" s="5">
        <f t="shared" si="14"/>
        <v>4500000</v>
      </c>
      <c r="L17" s="5">
        <f>+G17*4%</f>
        <v>180000</v>
      </c>
      <c r="M17" s="5">
        <f>+G17*5%</f>
        <v>225000</v>
      </c>
      <c r="N17" s="5"/>
      <c r="O17" s="5"/>
      <c r="P17" s="5">
        <v>72000</v>
      </c>
      <c r="Q17" s="5"/>
      <c r="R17" s="5"/>
      <c r="S17" s="5"/>
      <c r="T17" s="5">
        <f t="shared" si="15"/>
        <v>477000</v>
      </c>
      <c r="U17" s="7">
        <f t="shared" si="16"/>
        <v>4023000</v>
      </c>
      <c r="V17" s="7"/>
      <c r="W17" s="44"/>
      <c r="X17" s="7">
        <f t="shared" si="3"/>
        <v>4023000</v>
      </c>
    </row>
    <row r="18" spans="1:24" x14ac:dyDescent="0.25">
      <c r="A18" s="90"/>
      <c r="B18" s="6">
        <v>15</v>
      </c>
      <c r="C18" s="11" t="s">
        <v>41</v>
      </c>
      <c r="D18" s="6" t="s">
        <v>27</v>
      </c>
      <c r="E18" s="5">
        <v>5500000</v>
      </c>
      <c r="F18" s="12">
        <v>30</v>
      </c>
      <c r="G18" s="5">
        <f t="shared" si="11"/>
        <v>5500000</v>
      </c>
      <c r="H18" s="5"/>
      <c r="I18" s="5">
        <v>450000</v>
      </c>
      <c r="J18" s="5"/>
      <c r="K18" s="5">
        <f t="shared" si="0"/>
        <v>5950000</v>
      </c>
      <c r="L18" s="5">
        <f>+G18*4%</f>
        <v>220000</v>
      </c>
      <c r="M18" s="5">
        <f>+G18*5%</f>
        <v>275000</v>
      </c>
      <c r="N18" s="5"/>
      <c r="O18" s="5"/>
      <c r="P18" s="17">
        <v>150521</v>
      </c>
      <c r="Q18" s="5">
        <v>1365000</v>
      </c>
      <c r="R18" s="5"/>
      <c r="S18" s="5"/>
      <c r="T18" s="5">
        <f t="shared" si="1"/>
        <v>2010521</v>
      </c>
      <c r="U18" s="7">
        <f t="shared" si="10"/>
        <v>3939479</v>
      </c>
      <c r="V18" s="7"/>
      <c r="W18" s="44"/>
      <c r="X18" s="7">
        <f t="shared" si="3"/>
        <v>3939479</v>
      </c>
    </row>
    <row r="19" spans="1:24" ht="24" x14ac:dyDescent="0.25">
      <c r="A19" s="90"/>
      <c r="B19" s="6">
        <v>16</v>
      </c>
      <c r="C19" s="11" t="s">
        <v>43</v>
      </c>
      <c r="D19" s="6" t="s">
        <v>27</v>
      </c>
      <c r="E19" s="5">
        <v>5350000</v>
      </c>
      <c r="F19" s="12">
        <v>30</v>
      </c>
      <c r="G19" s="5">
        <f>+E19-J19</f>
        <v>5350000</v>
      </c>
      <c r="H19" s="5"/>
      <c r="I19" s="5">
        <v>1000000</v>
      </c>
      <c r="J19" s="5"/>
      <c r="K19" s="5">
        <f t="shared" si="0"/>
        <v>6350000</v>
      </c>
      <c r="L19" s="5">
        <v>214000</v>
      </c>
      <c r="M19" s="5">
        <f>214000+53500</f>
        <v>267500</v>
      </c>
      <c r="N19" s="5"/>
      <c r="O19" s="5"/>
      <c r="P19" s="17">
        <v>121000</v>
      </c>
      <c r="Q19" s="5"/>
      <c r="R19" s="5"/>
      <c r="S19" s="5">
        <v>810005</v>
      </c>
      <c r="T19" s="5">
        <f>SUM(L19:S19)</f>
        <v>1412505</v>
      </c>
      <c r="U19" s="7">
        <f>K19-T19</f>
        <v>4937495</v>
      </c>
      <c r="V19" s="7"/>
      <c r="W19" s="44"/>
      <c r="X19" s="7">
        <f t="shared" si="3"/>
        <v>4937495</v>
      </c>
    </row>
    <row r="20" spans="1:24" x14ac:dyDescent="0.25">
      <c r="A20" s="90"/>
      <c r="B20" s="6">
        <v>17</v>
      </c>
      <c r="C20" s="11" t="s">
        <v>44</v>
      </c>
      <c r="D20" s="6" t="s">
        <v>27</v>
      </c>
      <c r="E20" s="5">
        <v>6600000</v>
      </c>
      <c r="F20" s="12">
        <v>30</v>
      </c>
      <c r="G20" s="5">
        <f t="shared" ref="G20:G28" si="17">E20/30*F20</f>
        <v>6600000</v>
      </c>
      <c r="H20" s="5"/>
      <c r="I20" s="5"/>
      <c r="J20" s="5"/>
      <c r="K20" s="5">
        <f t="shared" si="0"/>
        <v>6600000</v>
      </c>
      <c r="L20" s="5">
        <f>+G20*4%</f>
        <v>264000</v>
      </c>
      <c r="M20" s="5">
        <f>+G20*5%</f>
        <v>330000</v>
      </c>
      <c r="N20" s="5"/>
      <c r="O20" s="5">
        <v>2277509</v>
      </c>
      <c r="P20" s="17">
        <v>180000</v>
      </c>
      <c r="Q20" s="5"/>
      <c r="R20" s="5"/>
      <c r="S20" s="5"/>
      <c r="T20" s="5">
        <f t="shared" si="1"/>
        <v>3051509</v>
      </c>
      <c r="U20" s="7">
        <f>K20-T20</f>
        <v>3548491</v>
      </c>
      <c r="V20" s="7"/>
      <c r="W20" s="44"/>
      <c r="X20" s="7">
        <f t="shared" si="3"/>
        <v>3548491</v>
      </c>
    </row>
    <row r="21" spans="1:24" x14ac:dyDescent="0.25">
      <c r="A21" s="90"/>
      <c r="B21" s="6">
        <v>18</v>
      </c>
      <c r="C21" s="11" t="s">
        <v>45</v>
      </c>
      <c r="D21" s="6" t="s">
        <v>27</v>
      </c>
      <c r="E21" s="5">
        <v>6900000</v>
      </c>
      <c r="F21" s="12">
        <v>30</v>
      </c>
      <c r="G21" s="5">
        <f t="shared" si="17"/>
        <v>6900000</v>
      </c>
      <c r="H21" s="5"/>
      <c r="I21" s="5">
        <v>1400000</v>
      </c>
      <c r="J21" s="5"/>
      <c r="K21" s="5">
        <f t="shared" ref="K21" si="18">SUM(G21:I21)+J21</f>
        <v>8300000</v>
      </c>
      <c r="L21" s="5">
        <f t="shared" ref="L21" si="19">+G21*4%</f>
        <v>276000</v>
      </c>
      <c r="M21" s="5">
        <f t="shared" ref="M21" si="20">+G21*5%</f>
        <v>345000</v>
      </c>
      <c r="N21" s="5"/>
      <c r="O21" s="5"/>
      <c r="P21" s="17">
        <v>113000</v>
      </c>
      <c r="Q21" s="5">
        <v>1300000</v>
      </c>
      <c r="R21" s="5"/>
      <c r="S21" s="5"/>
      <c r="T21" s="5">
        <f t="shared" ref="T21:T22" si="21">SUM(L21:S21)</f>
        <v>2034000</v>
      </c>
      <c r="U21" s="7">
        <f>K21-T21</f>
        <v>6266000</v>
      </c>
      <c r="V21" s="7"/>
      <c r="W21" s="44"/>
      <c r="X21" s="7">
        <f t="shared" si="3"/>
        <v>6266000</v>
      </c>
    </row>
    <row r="22" spans="1:24" x14ac:dyDescent="0.25">
      <c r="A22" s="90"/>
      <c r="B22" s="6">
        <v>19</v>
      </c>
      <c r="C22" s="11" t="s">
        <v>46</v>
      </c>
      <c r="D22" s="6" t="s">
        <v>27</v>
      </c>
      <c r="E22" s="5">
        <v>3500000</v>
      </c>
      <c r="F22" s="12">
        <v>30</v>
      </c>
      <c r="G22" s="5">
        <f t="shared" ref="G22" si="22">+E22/30*F22</f>
        <v>3500000</v>
      </c>
      <c r="H22" s="5"/>
      <c r="I22" s="5"/>
      <c r="J22" s="5"/>
      <c r="K22" s="5">
        <f t="shared" ref="K22" si="23">SUM(G22:I22)+J22</f>
        <v>3500000</v>
      </c>
      <c r="L22" s="5">
        <v>140000</v>
      </c>
      <c r="M22" s="5">
        <v>175000</v>
      </c>
      <c r="N22" s="5"/>
      <c r="O22" s="5"/>
      <c r="P22" s="5"/>
      <c r="Q22" s="5"/>
      <c r="R22" s="5"/>
      <c r="S22" s="5"/>
      <c r="T22" s="5">
        <f t="shared" si="21"/>
        <v>315000</v>
      </c>
      <c r="U22" s="7">
        <f t="shared" ref="U22" si="24">+K22-T22</f>
        <v>3185000</v>
      </c>
      <c r="V22" s="7"/>
      <c r="W22" s="44"/>
      <c r="X22" s="7">
        <f t="shared" si="3"/>
        <v>3185000</v>
      </c>
    </row>
    <row r="23" spans="1:24" x14ac:dyDescent="0.25">
      <c r="A23" s="90"/>
      <c r="B23" s="6">
        <v>20</v>
      </c>
      <c r="C23" s="11" t="s">
        <v>47</v>
      </c>
      <c r="D23" s="6" t="s">
        <v>27</v>
      </c>
      <c r="E23" s="5">
        <v>5000000</v>
      </c>
      <c r="F23" s="12">
        <v>30</v>
      </c>
      <c r="G23" s="5">
        <f>+E23</f>
        <v>5000000</v>
      </c>
      <c r="H23" s="5"/>
      <c r="I23" s="5">
        <v>1621317</v>
      </c>
      <c r="J23" s="5">
        <v>3333333</v>
      </c>
      <c r="K23" s="5">
        <f>SUM(G23:I23)+J23</f>
        <v>9954650</v>
      </c>
      <c r="L23" s="5">
        <v>200000</v>
      </c>
      <c r="M23" s="5">
        <v>250000</v>
      </c>
      <c r="N23" s="5"/>
      <c r="O23" s="5"/>
      <c r="P23" s="17">
        <v>50000</v>
      </c>
      <c r="Q23" s="5"/>
      <c r="R23" s="5"/>
      <c r="S23" s="5">
        <f>884747</f>
        <v>884747</v>
      </c>
      <c r="T23" s="5">
        <f t="shared" si="1"/>
        <v>1384747</v>
      </c>
      <c r="U23" s="7">
        <f>+K23-T23</f>
        <v>8569903</v>
      </c>
      <c r="V23" s="7"/>
      <c r="W23" s="44"/>
      <c r="X23" s="7">
        <f t="shared" si="3"/>
        <v>8569903</v>
      </c>
    </row>
    <row r="24" spans="1:24" x14ac:dyDescent="0.25">
      <c r="A24" s="90"/>
      <c r="B24" s="6">
        <v>21</v>
      </c>
      <c r="C24" s="11" t="s">
        <v>48</v>
      </c>
      <c r="D24" s="6" t="s">
        <v>27</v>
      </c>
      <c r="E24" s="5">
        <v>4500000</v>
      </c>
      <c r="F24" s="12">
        <v>30</v>
      </c>
      <c r="G24" s="5">
        <f>+E24-J24</f>
        <v>4500000</v>
      </c>
      <c r="H24" s="5"/>
      <c r="I24" s="5"/>
      <c r="J24" s="5">
        <v>0</v>
      </c>
      <c r="K24" s="5">
        <f t="shared" si="0"/>
        <v>4500000</v>
      </c>
      <c r="L24" s="5">
        <v>180000</v>
      </c>
      <c r="M24" s="5">
        <v>225000</v>
      </c>
      <c r="N24" s="5"/>
      <c r="O24" s="5"/>
      <c r="P24" s="17">
        <v>31000</v>
      </c>
      <c r="Q24" s="5"/>
      <c r="R24" s="5"/>
      <c r="S24" s="5"/>
      <c r="T24" s="5">
        <f t="shared" si="1"/>
        <v>436000</v>
      </c>
      <c r="U24" s="7">
        <f>+K24-T24</f>
        <v>4064000</v>
      </c>
      <c r="V24" s="7"/>
      <c r="W24" s="44"/>
      <c r="X24" s="7">
        <f t="shared" si="3"/>
        <v>4064000</v>
      </c>
    </row>
    <row r="25" spans="1:24" x14ac:dyDescent="0.25">
      <c r="A25" s="90"/>
      <c r="B25" s="6">
        <v>22</v>
      </c>
      <c r="C25" s="11" t="s">
        <v>49</v>
      </c>
      <c r="D25" s="6" t="s">
        <v>27</v>
      </c>
      <c r="E25" s="5">
        <v>5500000</v>
      </c>
      <c r="F25" s="12">
        <v>30</v>
      </c>
      <c r="G25" s="5">
        <f t="shared" si="17"/>
        <v>5500000</v>
      </c>
      <c r="H25" s="5"/>
      <c r="I25" s="5"/>
      <c r="J25" s="5"/>
      <c r="K25" s="5">
        <f t="shared" ref="K25" si="25">SUM(G25:I25)+J25</f>
        <v>5500000</v>
      </c>
      <c r="L25" s="5">
        <f>+E25*4%</f>
        <v>220000</v>
      </c>
      <c r="M25" s="5">
        <f>+E25*5%</f>
        <v>275000</v>
      </c>
      <c r="N25" s="5"/>
      <c r="O25" s="5"/>
      <c r="P25" s="17">
        <v>141000</v>
      </c>
      <c r="Q25" s="5"/>
      <c r="R25" s="5"/>
      <c r="S25" s="5"/>
      <c r="T25" s="5">
        <f t="shared" ref="T25" si="26">SUM(L25:S25)</f>
        <v>636000</v>
      </c>
      <c r="U25" s="7">
        <f>+K25-T25</f>
        <v>4864000</v>
      </c>
      <c r="V25" s="7"/>
      <c r="W25" s="44"/>
      <c r="X25" s="7">
        <f t="shared" si="3"/>
        <v>4864000</v>
      </c>
    </row>
    <row r="26" spans="1:24" x14ac:dyDescent="0.25">
      <c r="A26" s="90"/>
      <c r="B26" s="6">
        <v>23</v>
      </c>
      <c r="C26" s="11" t="s">
        <v>50</v>
      </c>
      <c r="D26" s="6" t="s">
        <v>27</v>
      </c>
      <c r="E26" s="5">
        <v>4500000</v>
      </c>
      <c r="F26" s="12">
        <v>27</v>
      </c>
      <c r="G26" s="5">
        <f t="shared" si="17"/>
        <v>4050000</v>
      </c>
      <c r="H26" s="5"/>
      <c r="I26" s="5"/>
      <c r="J26" s="5">
        <v>300015</v>
      </c>
      <c r="K26" s="5">
        <f t="shared" ref="K26" si="27">SUM(G26:I26)+J26</f>
        <v>4350015</v>
      </c>
      <c r="L26" s="5">
        <f>+E26*4%</f>
        <v>180000</v>
      </c>
      <c r="M26" s="5">
        <f>+E26*5%</f>
        <v>225000</v>
      </c>
      <c r="N26" s="5"/>
      <c r="O26" s="5"/>
      <c r="P26" s="17">
        <v>72000</v>
      </c>
      <c r="Q26" s="5"/>
      <c r="R26" s="5"/>
      <c r="S26" s="5"/>
      <c r="T26" s="5">
        <f t="shared" ref="T26" si="28">SUM(L26:S26)</f>
        <v>477000</v>
      </c>
      <c r="U26" s="7">
        <f>+K26-T26</f>
        <v>3873015</v>
      </c>
      <c r="V26" s="7"/>
      <c r="W26" s="44"/>
      <c r="X26" s="7">
        <f t="shared" si="3"/>
        <v>3873015</v>
      </c>
    </row>
    <row r="27" spans="1:24" x14ac:dyDescent="0.25">
      <c r="A27" s="90"/>
      <c r="B27" s="6">
        <v>24</v>
      </c>
      <c r="C27" s="11" t="s">
        <v>51</v>
      </c>
      <c r="D27" s="6" t="s">
        <v>27</v>
      </c>
      <c r="E27" s="5">
        <v>6000000</v>
      </c>
      <c r="F27" s="12">
        <v>30</v>
      </c>
      <c r="G27" s="5">
        <f t="shared" si="17"/>
        <v>6000000</v>
      </c>
      <c r="H27" s="5"/>
      <c r="I27" s="5"/>
      <c r="J27" s="5"/>
      <c r="K27" s="5">
        <f t="shared" si="0"/>
        <v>6000000</v>
      </c>
      <c r="L27" s="5">
        <f>+E27*4%</f>
        <v>240000</v>
      </c>
      <c r="M27" s="5">
        <f>E27*5%</f>
        <v>300000</v>
      </c>
      <c r="N27" s="5"/>
      <c r="O27" s="5"/>
      <c r="P27" s="17">
        <v>79000</v>
      </c>
      <c r="Q27" s="5"/>
      <c r="R27" s="5"/>
      <c r="S27" s="5"/>
      <c r="T27" s="5">
        <f t="shared" si="1"/>
        <v>619000</v>
      </c>
      <c r="U27" s="7">
        <f>K27-T27</f>
        <v>5381000</v>
      </c>
      <c r="V27" s="7"/>
      <c r="W27" s="44"/>
      <c r="X27" s="7">
        <f t="shared" si="3"/>
        <v>5381000</v>
      </c>
    </row>
    <row r="28" spans="1:24" x14ac:dyDescent="0.25">
      <c r="A28" s="90"/>
      <c r="B28" s="6">
        <v>25</v>
      </c>
      <c r="C28" s="11" t="s">
        <v>53</v>
      </c>
      <c r="D28" s="6" t="s">
        <v>27</v>
      </c>
      <c r="E28" s="5">
        <v>3500000</v>
      </c>
      <c r="F28" s="12">
        <v>30</v>
      </c>
      <c r="G28" s="5">
        <f t="shared" si="17"/>
        <v>3500000</v>
      </c>
      <c r="H28" s="5"/>
      <c r="I28" s="5"/>
      <c r="J28" s="5"/>
      <c r="K28" s="5">
        <f>SUM(G28:I28)+J28</f>
        <v>3500000</v>
      </c>
      <c r="L28" s="5">
        <v>140000</v>
      </c>
      <c r="M28" s="5">
        <v>175000</v>
      </c>
      <c r="N28" s="5"/>
      <c r="O28" s="5"/>
      <c r="P28" s="17">
        <v>0</v>
      </c>
      <c r="Q28" s="5"/>
      <c r="R28" s="5">
        <v>111000</v>
      </c>
      <c r="S28" s="5"/>
      <c r="T28" s="5">
        <f t="shared" ref="T28" si="29">SUM(L28:S28)</f>
        <v>426000</v>
      </c>
      <c r="U28" s="7">
        <f>K28-T28</f>
        <v>3074000</v>
      </c>
      <c r="V28" s="7"/>
      <c r="W28" s="44"/>
      <c r="X28" s="7">
        <f t="shared" si="3"/>
        <v>3074000</v>
      </c>
    </row>
    <row r="29" spans="1:24" x14ac:dyDescent="0.25">
      <c r="A29" s="90"/>
      <c r="B29" s="6">
        <v>26</v>
      </c>
      <c r="C29" s="11" t="s">
        <v>54</v>
      </c>
      <c r="D29" s="6" t="s">
        <v>27</v>
      </c>
      <c r="E29" s="5">
        <v>4800000</v>
      </c>
      <c r="F29" s="12">
        <v>30</v>
      </c>
      <c r="G29" s="5">
        <f t="shared" ref="G29:G43" si="30">+E29/30*F29</f>
        <v>4800000</v>
      </c>
      <c r="H29" s="5"/>
      <c r="I29" s="5"/>
      <c r="J29" s="5"/>
      <c r="K29" s="5">
        <f t="shared" si="0"/>
        <v>4800000</v>
      </c>
      <c r="L29" s="5">
        <f>+G29*4%</f>
        <v>192000</v>
      </c>
      <c r="M29" s="5">
        <f>+G29*5%</f>
        <v>240000</v>
      </c>
      <c r="N29" s="5"/>
      <c r="O29" s="5"/>
      <c r="P29" s="5">
        <v>0</v>
      </c>
      <c r="Q29" s="5">
        <v>1300000</v>
      </c>
      <c r="R29" s="5"/>
      <c r="S29" s="5">
        <v>209579</v>
      </c>
      <c r="T29" s="5">
        <f t="shared" si="1"/>
        <v>1941579</v>
      </c>
      <c r="U29" s="7">
        <f>K29-T29</f>
        <v>2858421</v>
      </c>
      <c r="V29" s="7"/>
      <c r="W29" s="44"/>
      <c r="X29" s="7">
        <f t="shared" si="3"/>
        <v>2858421</v>
      </c>
    </row>
    <row r="30" spans="1:24" x14ac:dyDescent="0.25">
      <c r="A30" s="90"/>
      <c r="B30" s="6">
        <v>27</v>
      </c>
      <c r="C30" s="11" t="s">
        <v>55</v>
      </c>
      <c r="D30" s="6" t="s">
        <v>27</v>
      </c>
      <c r="E30" s="5">
        <v>4280000</v>
      </c>
      <c r="F30" s="12">
        <v>30</v>
      </c>
      <c r="G30" s="5">
        <f>E30/30*F30</f>
        <v>4280000</v>
      </c>
      <c r="H30" s="5"/>
      <c r="I30" s="5"/>
      <c r="J30" s="5"/>
      <c r="K30" s="5">
        <f t="shared" si="0"/>
        <v>4280000</v>
      </c>
      <c r="L30" s="5">
        <f>+K30*4%</f>
        <v>171200</v>
      </c>
      <c r="M30" s="5">
        <f>+K30*5%</f>
        <v>214000</v>
      </c>
      <c r="N30" s="5"/>
      <c r="O30" s="5"/>
      <c r="P30" s="17">
        <v>31064</v>
      </c>
      <c r="Q30" s="5"/>
      <c r="R30" s="5"/>
      <c r="S30" s="5"/>
      <c r="T30" s="5">
        <f t="shared" si="1"/>
        <v>416264</v>
      </c>
      <c r="U30" s="7">
        <f>K30-T30</f>
        <v>3863736</v>
      </c>
      <c r="V30" s="7"/>
      <c r="W30" s="44"/>
      <c r="X30" s="7">
        <f t="shared" si="3"/>
        <v>3863736</v>
      </c>
    </row>
    <row r="31" spans="1:24" x14ac:dyDescent="0.25">
      <c r="A31" s="90"/>
      <c r="B31" s="6">
        <v>28</v>
      </c>
      <c r="C31" s="11" t="s">
        <v>111</v>
      </c>
      <c r="D31" s="6" t="s">
        <v>27</v>
      </c>
      <c r="E31" s="5">
        <v>3500000</v>
      </c>
      <c r="F31" s="12">
        <v>30</v>
      </c>
      <c r="G31" s="5">
        <f t="shared" ref="G31" si="31">E31/30*F31</f>
        <v>3500000</v>
      </c>
      <c r="H31" s="5"/>
      <c r="I31" s="5"/>
      <c r="J31" s="5">
        <f>+E31-G31</f>
        <v>0</v>
      </c>
      <c r="K31" s="5">
        <f>SUM(G31:I31)+J31</f>
        <v>3500000</v>
      </c>
      <c r="L31" s="5">
        <f>+G31*4%</f>
        <v>140000</v>
      </c>
      <c r="M31" s="5">
        <f>+G31*5%</f>
        <v>175000</v>
      </c>
      <c r="N31" s="5"/>
      <c r="O31" s="5"/>
      <c r="P31" s="5">
        <v>0</v>
      </c>
      <c r="Q31" s="5"/>
      <c r="R31" s="5"/>
      <c r="S31" s="5">
        <v>257196</v>
      </c>
      <c r="T31" s="5">
        <f>SUM(L31:S31)</f>
        <v>572196</v>
      </c>
      <c r="U31" s="7">
        <f>+K31-T31</f>
        <v>2927804</v>
      </c>
      <c r="V31" s="7"/>
      <c r="W31" s="44"/>
      <c r="X31" s="7">
        <f t="shared" si="3"/>
        <v>2927804</v>
      </c>
    </row>
    <row r="32" spans="1:24" x14ac:dyDescent="0.25">
      <c r="A32" s="90"/>
      <c r="B32" s="6">
        <v>29</v>
      </c>
      <c r="C32" s="11" t="s">
        <v>56</v>
      </c>
      <c r="D32" s="6" t="s">
        <v>27</v>
      </c>
      <c r="E32" s="5">
        <v>6000000</v>
      </c>
      <c r="F32" s="12">
        <v>30</v>
      </c>
      <c r="G32" s="5">
        <f t="shared" si="30"/>
        <v>6000000</v>
      </c>
      <c r="H32" s="5"/>
      <c r="I32" s="5"/>
      <c r="J32" s="5"/>
      <c r="K32" s="5">
        <f t="shared" si="0"/>
        <v>6000000</v>
      </c>
      <c r="L32" s="5">
        <f>+K32*4%</f>
        <v>240000</v>
      </c>
      <c r="M32" s="5">
        <f>+K32*5%</f>
        <v>300000</v>
      </c>
      <c r="N32" s="5"/>
      <c r="O32" s="5"/>
      <c r="P32" s="5">
        <v>208000</v>
      </c>
      <c r="Q32" s="5"/>
      <c r="R32" s="5">
        <v>122614</v>
      </c>
      <c r="S32" s="5"/>
      <c r="T32" s="5">
        <f t="shared" si="1"/>
        <v>870614</v>
      </c>
      <c r="U32" s="7">
        <f t="shared" ref="U32:U33" si="32">+K32-T32</f>
        <v>5129386</v>
      </c>
      <c r="V32" s="7"/>
      <c r="W32" s="44"/>
      <c r="X32" s="7">
        <f t="shared" si="3"/>
        <v>5129386</v>
      </c>
    </row>
    <row r="33" spans="1:26" x14ac:dyDescent="0.25">
      <c r="A33" s="90"/>
      <c r="B33" s="6">
        <v>30</v>
      </c>
      <c r="C33" s="11" t="s">
        <v>57</v>
      </c>
      <c r="D33" s="6" t="s">
        <v>27</v>
      </c>
      <c r="E33" s="5">
        <v>4500000</v>
      </c>
      <c r="F33" s="12">
        <v>30</v>
      </c>
      <c r="G33" s="5">
        <f t="shared" si="30"/>
        <v>4500000</v>
      </c>
      <c r="H33" s="5"/>
      <c r="I33" s="5">
        <v>500000</v>
      </c>
      <c r="J33" s="5"/>
      <c r="K33" s="5">
        <f t="shared" si="0"/>
        <v>5000000</v>
      </c>
      <c r="L33" s="5">
        <f t="shared" ref="L33" si="33">+G33*4%</f>
        <v>180000</v>
      </c>
      <c r="M33" s="5">
        <f t="shared" si="7"/>
        <v>225000</v>
      </c>
      <c r="N33" s="5"/>
      <c r="O33" s="5"/>
      <c r="P33" s="5">
        <v>11000</v>
      </c>
      <c r="Q33" s="5"/>
      <c r="R33" s="5"/>
      <c r="S33" s="5">
        <v>551399</v>
      </c>
      <c r="T33" s="5">
        <f t="shared" si="1"/>
        <v>967399</v>
      </c>
      <c r="U33" s="7">
        <f t="shared" si="32"/>
        <v>4032601</v>
      </c>
      <c r="V33" s="7"/>
      <c r="W33" s="44"/>
      <c r="X33" s="7">
        <f t="shared" si="3"/>
        <v>4032601</v>
      </c>
    </row>
    <row r="34" spans="1:26" x14ac:dyDescent="0.25">
      <c r="A34" s="90"/>
      <c r="B34" s="6">
        <v>31</v>
      </c>
      <c r="C34" s="3" t="s">
        <v>58</v>
      </c>
      <c r="D34" s="4" t="s">
        <v>27</v>
      </c>
      <c r="E34" s="5">
        <v>5400000</v>
      </c>
      <c r="F34" s="12">
        <v>30</v>
      </c>
      <c r="G34" s="5">
        <f>+E34-J34</f>
        <v>5400000</v>
      </c>
      <c r="H34" s="5"/>
      <c r="I34" s="5"/>
      <c r="J34" s="5"/>
      <c r="K34" s="5">
        <f>SUM(G34:I34)+J34</f>
        <v>5400000</v>
      </c>
      <c r="L34" s="5">
        <f>+G34*4%</f>
        <v>216000</v>
      </c>
      <c r="M34" s="5">
        <f>+G34*5%</f>
        <v>270000</v>
      </c>
      <c r="N34" s="5"/>
      <c r="O34" s="5"/>
      <c r="P34" s="5">
        <v>48240</v>
      </c>
      <c r="Q34" s="5"/>
      <c r="R34" s="5"/>
      <c r="S34" s="5">
        <v>541379</v>
      </c>
      <c r="T34" s="5">
        <f t="shared" si="1"/>
        <v>1075619</v>
      </c>
      <c r="U34" s="7">
        <f>K34-T34</f>
        <v>4324381</v>
      </c>
      <c r="V34" s="7"/>
      <c r="W34" s="44"/>
      <c r="X34" s="7">
        <f t="shared" si="3"/>
        <v>4324381</v>
      </c>
    </row>
    <row r="35" spans="1:26" ht="24.75" customHeight="1" x14ac:dyDescent="0.25">
      <c r="A35" s="90"/>
      <c r="B35" s="6">
        <v>32</v>
      </c>
      <c r="C35" s="11" t="s">
        <v>59</v>
      </c>
      <c r="D35" s="6" t="s">
        <v>27</v>
      </c>
      <c r="E35" s="5">
        <v>6420000</v>
      </c>
      <c r="F35" s="12">
        <v>30</v>
      </c>
      <c r="G35" s="5">
        <v>4708000</v>
      </c>
      <c r="H35" s="5"/>
      <c r="I35" s="5">
        <v>500000</v>
      </c>
      <c r="J35" s="5">
        <f>+E35-G35</f>
        <v>1712000</v>
      </c>
      <c r="K35" s="5">
        <f>SUM(G35:I35)+J35</f>
        <v>6920000</v>
      </c>
      <c r="L35" s="5">
        <f>+E35*4%</f>
        <v>256800</v>
      </c>
      <c r="M35" s="5">
        <f>+E35*5%</f>
        <v>321000</v>
      </c>
      <c r="N35" s="5"/>
      <c r="O35" s="5"/>
      <c r="P35" s="5">
        <v>231000</v>
      </c>
      <c r="Q35" s="5"/>
      <c r="R35" s="5"/>
      <c r="S35" s="5"/>
      <c r="T35" s="5">
        <f t="shared" si="1"/>
        <v>808800</v>
      </c>
      <c r="U35" s="7">
        <f>+K35-T35</f>
        <v>6111200</v>
      </c>
      <c r="V35" s="7"/>
      <c r="W35" s="44"/>
      <c r="X35" s="7">
        <f t="shared" si="3"/>
        <v>6111200</v>
      </c>
    </row>
    <row r="36" spans="1:26" x14ac:dyDescent="0.25">
      <c r="A36" s="90"/>
      <c r="B36" s="6">
        <v>33</v>
      </c>
      <c r="C36" s="3" t="s">
        <v>60</v>
      </c>
      <c r="D36" s="4" t="s">
        <v>27</v>
      </c>
      <c r="E36" s="5">
        <v>6900000</v>
      </c>
      <c r="F36" s="12">
        <v>30</v>
      </c>
      <c r="G36" s="5">
        <f t="shared" si="30"/>
        <v>6900000</v>
      </c>
      <c r="H36" s="5"/>
      <c r="I36" s="5">
        <v>1500000</v>
      </c>
      <c r="J36" s="5"/>
      <c r="K36" s="5">
        <f t="shared" ref="K36:K78" si="34">SUM(G36:I36)+J36</f>
        <v>8400000</v>
      </c>
      <c r="L36" s="5">
        <v>276000</v>
      </c>
      <c r="M36" s="5">
        <v>345000</v>
      </c>
      <c r="N36" s="5"/>
      <c r="O36" s="5"/>
      <c r="P36" s="5">
        <v>345000</v>
      </c>
      <c r="Q36" s="5"/>
      <c r="R36" s="5"/>
      <c r="S36" s="5"/>
      <c r="T36" s="5">
        <f t="shared" si="1"/>
        <v>966000</v>
      </c>
      <c r="U36" s="7">
        <f>K36-T36</f>
        <v>7434000</v>
      </c>
      <c r="V36" s="7"/>
      <c r="W36" s="44"/>
      <c r="X36" s="7">
        <f t="shared" si="3"/>
        <v>7434000</v>
      </c>
    </row>
    <row r="37" spans="1:26" x14ac:dyDescent="0.25">
      <c r="A37" s="90"/>
      <c r="B37" s="6">
        <v>34</v>
      </c>
      <c r="C37" s="3" t="s">
        <v>62</v>
      </c>
      <c r="D37" s="4" t="s">
        <v>27</v>
      </c>
      <c r="E37" s="5">
        <v>5500000</v>
      </c>
      <c r="F37" s="12">
        <v>30</v>
      </c>
      <c r="G37" s="5">
        <f t="shared" si="30"/>
        <v>5500000</v>
      </c>
      <c r="H37" s="5"/>
      <c r="I37" s="5">
        <v>500000</v>
      </c>
      <c r="J37" s="5"/>
      <c r="K37" s="5">
        <f t="shared" ref="K37" si="35">SUM(G37:I37)+J37</f>
        <v>6000000</v>
      </c>
      <c r="L37" s="5">
        <f>+G37*4%</f>
        <v>220000</v>
      </c>
      <c r="M37" s="5">
        <f>+G37*5%</f>
        <v>275000</v>
      </c>
      <c r="N37" s="5"/>
      <c r="O37" s="5"/>
      <c r="P37" s="5">
        <v>144000</v>
      </c>
      <c r="Q37" s="5"/>
      <c r="R37" s="5"/>
      <c r="S37" s="5"/>
      <c r="T37" s="5">
        <f t="shared" ref="T37" si="36">SUM(L37:S37)</f>
        <v>639000</v>
      </c>
      <c r="U37" s="7">
        <f t="shared" ref="U37" si="37">K37-T37</f>
        <v>5361000</v>
      </c>
      <c r="V37" s="7"/>
      <c r="W37" s="44"/>
      <c r="X37" s="7">
        <f t="shared" si="3"/>
        <v>5361000</v>
      </c>
    </row>
    <row r="38" spans="1:26" x14ac:dyDescent="0.25">
      <c r="A38" s="90"/>
      <c r="B38" s="6">
        <v>35</v>
      </c>
      <c r="C38" s="11" t="s">
        <v>63</v>
      </c>
      <c r="D38" s="6" t="s">
        <v>27</v>
      </c>
      <c r="E38" s="5">
        <v>5350000</v>
      </c>
      <c r="F38" s="12">
        <v>30</v>
      </c>
      <c r="G38" s="5">
        <f>+E38-J38</f>
        <v>5350000</v>
      </c>
      <c r="H38" s="5"/>
      <c r="I38" s="5"/>
      <c r="J38" s="5"/>
      <c r="K38" s="5">
        <f t="shared" si="34"/>
        <v>5350000</v>
      </c>
      <c r="L38" s="5">
        <v>214000</v>
      </c>
      <c r="M38" s="5">
        <v>267500</v>
      </c>
      <c r="N38" s="5"/>
      <c r="O38" s="5"/>
      <c r="P38" s="5">
        <v>121000</v>
      </c>
      <c r="Q38" s="5"/>
      <c r="R38" s="5"/>
      <c r="S38" s="5"/>
      <c r="T38" s="5">
        <f>SUM(L38:S38)</f>
        <v>602500</v>
      </c>
      <c r="U38" s="7">
        <f t="shared" ref="U38:U43" si="38">+K38-T38</f>
        <v>4747500</v>
      </c>
      <c r="V38" s="7"/>
      <c r="W38" s="44"/>
      <c r="X38" s="7">
        <f t="shared" si="3"/>
        <v>4747500</v>
      </c>
    </row>
    <row r="39" spans="1:26" x14ac:dyDescent="0.25">
      <c r="A39" s="90"/>
      <c r="B39" s="6">
        <v>36</v>
      </c>
      <c r="C39" s="11" t="s">
        <v>149</v>
      </c>
      <c r="D39" s="6"/>
      <c r="E39" s="5">
        <v>4000000</v>
      </c>
      <c r="F39" s="12">
        <v>30</v>
      </c>
      <c r="G39" s="5">
        <f t="shared" ref="G39:G42" si="39">+E39/30*F39</f>
        <v>4000000.0000000005</v>
      </c>
      <c r="H39" s="5"/>
      <c r="I39" s="5"/>
      <c r="J39" s="5"/>
      <c r="K39" s="5">
        <f t="shared" ref="K39" si="40">SUM(G39:I39)+J39</f>
        <v>4000000.0000000005</v>
      </c>
      <c r="L39" s="5">
        <f>+G39*4%</f>
        <v>160000.00000000003</v>
      </c>
      <c r="M39" s="5">
        <f>+G39*5%</f>
        <v>200000.00000000003</v>
      </c>
      <c r="N39" s="5"/>
      <c r="O39" s="5"/>
      <c r="P39" s="5">
        <v>0</v>
      </c>
      <c r="Q39" s="5"/>
      <c r="R39" s="5"/>
      <c r="S39" s="5"/>
      <c r="T39" s="5">
        <f>SUM(L39:S39)</f>
        <v>360000.00000000006</v>
      </c>
      <c r="U39" s="7">
        <f t="shared" si="38"/>
        <v>3640000.0000000005</v>
      </c>
      <c r="V39" s="7"/>
      <c r="W39" s="44"/>
      <c r="X39" s="7">
        <f t="shared" si="3"/>
        <v>3640000.0000000005</v>
      </c>
    </row>
    <row r="40" spans="1:26" ht="21" customHeight="1" x14ac:dyDescent="0.25">
      <c r="A40" s="90"/>
      <c r="B40" s="6">
        <v>37</v>
      </c>
      <c r="C40" s="11" t="s">
        <v>64</v>
      </c>
      <c r="D40" s="6" t="s">
        <v>27</v>
      </c>
      <c r="E40" s="5">
        <v>4500000</v>
      </c>
      <c r="F40" s="12">
        <v>30</v>
      </c>
      <c r="G40" s="5">
        <f t="shared" si="39"/>
        <v>4500000</v>
      </c>
      <c r="H40" s="5"/>
      <c r="I40" s="5"/>
      <c r="J40" s="5"/>
      <c r="K40" s="5">
        <f t="shared" si="34"/>
        <v>4500000</v>
      </c>
      <c r="L40" s="5">
        <f>+E40*4%</f>
        <v>180000</v>
      </c>
      <c r="M40" s="5">
        <f>+E40*5%</f>
        <v>225000</v>
      </c>
      <c r="N40" s="5"/>
      <c r="O40" s="5"/>
      <c r="P40" s="5">
        <v>10000</v>
      </c>
      <c r="Q40" s="5"/>
      <c r="R40" s="5"/>
      <c r="S40" s="5">
        <v>317224</v>
      </c>
      <c r="T40" s="5">
        <f>SUM(L40:S40)</f>
        <v>732224</v>
      </c>
      <c r="U40" s="7">
        <f t="shared" si="38"/>
        <v>3767776</v>
      </c>
      <c r="V40" s="7"/>
      <c r="W40" s="44"/>
      <c r="X40" s="7">
        <f t="shared" si="3"/>
        <v>3767776</v>
      </c>
    </row>
    <row r="41" spans="1:26" ht="26.25" customHeight="1" x14ac:dyDescent="0.25">
      <c r="A41" s="90"/>
      <c r="B41" s="6">
        <v>38</v>
      </c>
      <c r="C41" s="11" t="s">
        <v>66</v>
      </c>
      <c r="D41" s="6" t="s">
        <v>27</v>
      </c>
      <c r="E41" s="5">
        <v>4800000</v>
      </c>
      <c r="F41" s="12">
        <v>30</v>
      </c>
      <c r="G41" s="5">
        <f t="shared" si="39"/>
        <v>4800000</v>
      </c>
      <c r="H41" s="5"/>
      <c r="I41" s="5"/>
      <c r="J41" s="5"/>
      <c r="K41" s="5">
        <f t="shared" ref="K41" si="41">SUM(G41:I41)+J41</f>
        <v>4800000</v>
      </c>
      <c r="L41" s="5">
        <f>+G41*4%</f>
        <v>192000</v>
      </c>
      <c r="M41" s="5">
        <f>+G41*5%</f>
        <v>240000</v>
      </c>
      <c r="N41" s="5"/>
      <c r="O41" s="5"/>
      <c r="P41" s="5">
        <v>51000</v>
      </c>
      <c r="Q41" s="5">
        <v>500000</v>
      </c>
      <c r="R41" s="5"/>
      <c r="S41" s="5">
        <f>206720</f>
        <v>206720</v>
      </c>
      <c r="T41" s="5">
        <f t="shared" ref="T41" si="42">SUM(L41:S41)</f>
        <v>1189720</v>
      </c>
      <c r="U41" s="7">
        <f t="shared" si="38"/>
        <v>3610280</v>
      </c>
      <c r="V41" s="7"/>
      <c r="W41" s="44"/>
      <c r="X41" s="7">
        <f t="shared" si="3"/>
        <v>3610280</v>
      </c>
    </row>
    <row r="42" spans="1:26" ht="26.25" customHeight="1" x14ac:dyDescent="0.25">
      <c r="A42" s="90"/>
      <c r="B42" s="6">
        <v>39</v>
      </c>
      <c r="C42" s="11" t="s">
        <v>67</v>
      </c>
      <c r="D42" s="6"/>
      <c r="E42" s="5">
        <v>4000000</v>
      </c>
      <c r="F42" s="12">
        <v>30</v>
      </c>
      <c r="G42" s="5">
        <f t="shared" si="39"/>
        <v>4000000.0000000005</v>
      </c>
      <c r="H42" s="5"/>
      <c r="I42" s="5"/>
      <c r="J42" s="5"/>
      <c r="K42" s="5">
        <f t="shared" ref="K42" si="43">SUM(G42:I42)+J42</f>
        <v>4000000.0000000005</v>
      </c>
      <c r="L42" s="5">
        <f>+G42*4%</f>
        <v>160000.00000000003</v>
      </c>
      <c r="M42" s="5">
        <f>+G42*5%</f>
        <v>200000.00000000003</v>
      </c>
      <c r="N42" s="5"/>
      <c r="O42" s="5"/>
      <c r="P42" s="5">
        <v>4500</v>
      </c>
      <c r="Q42" s="5"/>
      <c r="R42" s="5"/>
      <c r="S42" s="5"/>
      <c r="T42" s="5">
        <f t="shared" ref="T42" si="44">SUM(L42:S42)</f>
        <v>364500.00000000006</v>
      </c>
      <c r="U42" s="7">
        <f t="shared" si="38"/>
        <v>3635500.0000000005</v>
      </c>
      <c r="V42" s="7"/>
      <c r="W42" s="44"/>
      <c r="X42" s="7">
        <f t="shared" si="3"/>
        <v>3635500.0000000005</v>
      </c>
    </row>
    <row r="43" spans="1:26" ht="24" customHeight="1" x14ac:dyDescent="0.25">
      <c r="A43" s="90"/>
      <c r="B43" s="6">
        <v>40</v>
      </c>
      <c r="C43" s="11" t="s">
        <v>69</v>
      </c>
      <c r="D43" s="6" t="s">
        <v>27</v>
      </c>
      <c r="E43" s="5">
        <v>6000000</v>
      </c>
      <c r="F43" s="12">
        <v>30</v>
      </c>
      <c r="G43" s="5">
        <f t="shared" si="30"/>
        <v>6000000</v>
      </c>
      <c r="H43" s="5"/>
      <c r="I43" s="5">
        <v>400000</v>
      </c>
      <c r="J43" s="5"/>
      <c r="K43" s="5">
        <f t="shared" si="34"/>
        <v>6400000</v>
      </c>
      <c r="L43" s="5">
        <f>+G43*4%</f>
        <v>240000</v>
      </c>
      <c r="M43" s="5">
        <f>+G43*5%</f>
        <v>300000</v>
      </c>
      <c r="N43" s="5"/>
      <c r="O43" s="5"/>
      <c r="P43" s="5">
        <v>126000</v>
      </c>
      <c r="Q43" s="5"/>
      <c r="R43" s="5"/>
      <c r="S43" s="5"/>
      <c r="T43" s="5">
        <f t="shared" si="1"/>
        <v>666000</v>
      </c>
      <c r="U43" s="7">
        <f t="shared" si="38"/>
        <v>5734000</v>
      </c>
      <c r="V43" s="7"/>
      <c r="W43" s="44"/>
      <c r="X43" s="7">
        <f t="shared" si="3"/>
        <v>5734000</v>
      </c>
      <c r="Y43" s="7">
        <v>4886979</v>
      </c>
      <c r="Z43" s="55">
        <f>+X43-Y43</f>
        <v>847021</v>
      </c>
    </row>
    <row r="44" spans="1:26" ht="30.75" customHeight="1" x14ac:dyDescent="0.25">
      <c r="A44" s="90"/>
      <c r="B44" s="6">
        <v>41</v>
      </c>
      <c r="C44" s="11" t="s">
        <v>70</v>
      </c>
      <c r="D44" s="6" t="s">
        <v>27</v>
      </c>
      <c r="E44" s="5">
        <v>6000000</v>
      </c>
      <c r="F44" s="12">
        <v>30</v>
      </c>
      <c r="G44" s="5">
        <f>+E44-J44</f>
        <v>6000000</v>
      </c>
      <c r="H44" s="5"/>
      <c r="I44" s="5">
        <v>400000</v>
      </c>
      <c r="J44" s="5"/>
      <c r="K44" s="5">
        <f t="shared" si="34"/>
        <v>6400000</v>
      </c>
      <c r="L44" s="5">
        <f>+G44*4%</f>
        <v>240000</v>
      </c>
      <c r="M44" s="5">
        <f>+G44*5%</f>
        <v>300000</v>
      </c>
      <c r="N44" s="5"/>
      <c r="O44" s="5"/>
      <c r="P44" s="5">
        <v>120000</v>
      </c>
      <c r="Q44" s="5"/>
      <c r="R44" s="5"/>
      <c r="S44" s="5"/>
      <c r="T44" s="5">
        <f t="shared" si="1"/>
        <v>660000</v>
      </c>
      <c r="U44" s="7">
        <f t="shared" ref="U44:U47" si="45">K44-T44</f>
        <v>5740000</v>
      </c>
      <c r="V44" s="7"/>
      <c r="W44" s="44"/>
      <c r="X44" s="7">
        <f t="shared" si="3"/>
        <v>5740000</v>
      </c>
    </row>
    <row r="45" spans="1:26" x14ac:dyDescent="0.25">
      <c r="A45" s="91"/>
      <c r="B45" s="6">
        <v>42</v>
      </c>
      <c r="C45" s="11" t="s">
        <v>72</v>
      </c>
      <c r="D45" s="6" t="s">
        <v>27</v>
      </c>
      <c r="E45" s="5">
        <v>4500000</v>
      </c>
      <c r="F45" s="12">
        <v>30</v>
      </c>
      <c r="G45" s="5">
        <f>+E45-J45</f>
        <v>4500000</v>
      </c>
      <c r="H45" s="5"/>
      <c r="I45" s="5"/>
      <c r="J45" s="5"/>
      <c r="K45" s="5">
        <f t="shared" si="34"/>
        <v>4500000</v>
      </c>
      <c r="L45" s="5">
        <v>180000</v>
      </c>
      <c r="M45" s="5">
        <v>225000</v>
      </c>
      <c r="N45" s="5"/>
      <c r="O45" s="5"/>
      <c r="P45" s="5">
        <v>31000</v>
      </c>
      <c r="Q45" s="5"/>
      <c r="R45" s="5"/>
      <c r="S45" s="5"/>
      <c r="T45" s="5">
        <f t="shared" si="1"/>
        <v>436000</v>
      </c>
      <c r="U45" s="7">
        <f t="shared" si="45"/>
        <v>4064000</v>
      </c>
      <c r="V45" s="7"/>
      <c r="W45" s="44"/>
      <c r="X45" s="7">
        <f t="shared" si="3"/>
        <v>4064000</v>
      </c>
    </row>
    <row r="46" spans="1:26" x14ac:dyDescent="0.25">
      <c r="A46" s="89" t="s">
        <v>144</v>
      </c>
      <c r="B46" s="6">
        <v>1</v>
      </c>
      <c r="C46" s="11" t="s">
        <v>145</v>
      </c>
      <c r="D46" s="6"/>
      <c r="E46" s="5">
        <v>737717</v>
      </c>
      <c r="F46" s="12">
        <v>30</v>
      </c>
      <c r="G46" s="5">
        <f t="shared" ref="G46:G56" si="46">+E46/30*F46</f>
        <v>737717</v>
      </c>
      <c r="H46" s="5"/>
      <c r="I46" s="5"/>
      <c r="J46" s="5"/>
      <c r="K46" s="5">
        <f t="shared" si="34"/>
        <v>737717</v>
      </c>
      <c r="L46" s="5"/>
      <c r="M46" s="5"/>
      <c r="N46" s="5"/>
      <c r="O46" s="5"/>
      <c r="P46" s="5"/>
      <c r="Q46" s="5"/>
      <c r="R46" s="5"/>
      <c r="S46" s="5"/>
      <c r="T46" s="5"/>
      <c r="U46" s="7">
        <f t="shared" si="45"/>
        <v>737717</v>
      </c>
      <c r="V46" s="7"/>
      <c r="W46" s="44"/>
      <c r="X46" s="7">
        <f t="shared" si="3"/>
        <v>737717</v>
      </c>
    </row>
    <row r="47" spans="1:26" ht="20.25" customHeight="1" x14ac:dyDescent="0.25">
      <c r="A47" s="90"/>
      <c r="B47" s="6">
        <v>2</v>
      </c>
      <c r="C47" s="11" t="s">
        <v>73</v>
      </c>
      <c r="D47" s="6" t="s">
        <v>27</v>
      </c>
      <c r="E47" s="5">
        <v>3000000</v>
      </c>
      <c r="F47" s="12">
        <v>30</v>
      </c>
      <c r="G47" s="5">
        <f>+E47-J47</f>
        <v>3000000</v>
      </c>
      <c r="H47" s="5"/>
      <c r="I47" s="5"/>
      <c r="J47" s="5"/>
      <c r="K47" s="5">
        <f t="shared" si="34"/>
        <v>3000000</v>
      </c>
      <c r="L47" s="5">
        <v>120000</v>
      </c>
      <c r="M47" s="5">
        <v>150000</v>
      </c>
      <c r="N47" s="5">
        <v>108334</v>
      </c>
      <c r="O47" s="5"/>
      <c r="P47" s="5"/>
      <c r="Q47" s="5"/>
      <c r="R47" s="5"/>
      <c r="S47" s="5">
        <f>481778+240889</f>
        <v>722667</v>
      </c>
      <c r="T47" s="5">
        <f t="shared" ref="T47" si="47">SUM(L47:S47)</f>
        <v>1101001</v>
      </c>
      <c r="U47" s="7">
        <f t="shared" si="45"/>
        <v>1898999</v>
      </c>
      <c r="V47" s="7"/>
      <c r="W47" s="44"/>
      <c r="X47" s="7">
        <f t="shared" si="3"/>
        <v>1898999</v>
      </c>
    </row>
    <row r="48" spans="1:26" x14ac:dyDescent="0.25">
      <c r="A48" s="90"/>
      <c r="B48" s="6">
        <v>3</v>
      </c>
      <c r="C48" s="3" t="s">
        <v>76</v>
      </c>
      <c r="D48" s="4" t="s">
        <v>27</v>
      </c>
      <c r="E48" s="5">
        <v>2500000</v>
      </c>
      <c r="F48" s="12">
        <v>30</v>
      </c>
      <c r="G48" s="5">
        <v>1416666</v>
      </c>
      <c r="H48" s="5"/>
      <c r="I48" s="5"/>
      <c r="J48" s="5">
        <f>+E48-G48</f>
        <v>1083334</v>
      </c>
      <c r="K48" s="5">
        <f>SUM(G48:I48)+J48</f>
        <v>2500000</v>
      </c>
      <c r="L48" s="5">
        <f>+E48*4%</f>
        <v>100000</v>
      </c>
      <c r="M48" s="5">
        <f>+E48*4%</f>
        <v>100000</v>
      </c>
      <c r="N48" s="5"/>
      <c r="O48" s="5"/>
      <c r="P48" s="5"/>
      <c r="Q48" s="5"/>
      <c r="R48" s="5"/>
      <c r="S48" s="5"/>
      <c r="T48" s="5">
        <f>SUM(L48:S48)</f>
        <v>200000</v>
      </c>
      <c r="U48" s="7">
        <f>K48-T48</f>
        <v>2300000</v>
      </c>
      <c r="V48" s="7"/>
      <c r="W48" s="44"/>
      <c r="X48" s="7">
        <f t="shared" si="3"/>
        <v>2300000</v>
      </c>
    </row>
    <row r="49" spans="1:24" ht="18" customHeight="1" x14ac:dyDescent="0.25">
      <c r="A49" s="90"/>
      <c r="B49" s="6">
        <v>4</v>
      </c>
      <c r="C49" s="11" t="s">
        <v>77</v>
      </c>
      <c r="D49" s="6" t="s">
        <v>27</v>
      </c>
      <c r="E49" s="5">
        <v>3000000</v>
      </c>
      <c r="F49" s="12">
        <v>30</v>
      </c>
      <c r="G49" s="5">
        <f t="shared" si="46"/>
        <v>3000000</v>
      </c>
      <c r="H49" s="5">
        <v>0</v>
      </c>
      <c r="I49" s="5"/>
      <c r="J49" s="5"/>
      <c r="K49" s="5">
        <f>SUM(G49:I49)+J49</f>
        <v>3000000</v>
      </c>
      <c r="L49" s="5">
        <f>+E49*4%</f>
        <v>120000</v>
      </c>
      <c r="M49" s="5">
        <f>+E49*5%</f>
        <v>150000</v>
      </c>
      <c r="N49" s="5"/>
      <c r="O49" s="5"/>
      <c r="P49" s="17"/>
      <c r="Q49" s="5"/>
      <c r="R49" s="5"/>
      <c r="S49" s="5"/>
      <c r="T49" s="5">
        <f>+L49+M49+S49</f>
        <v>270000</v>
      </c>
      <c r="U49" s="7">
        <f>+K49-T49</f>
        <v>2730000</v>
      </c>
      <c r="V49" s="7"/>
      <c r="W49" s="44"/>
      <c r="X49" s="7">
        <f t="shared" si="3"/>
        <v>2730000</v>
      </c>
    </row>
    <row r="50" spans="1:24" x14ac:dyDescent="0.25">
      <c r="A50" s="90"/>
      <c r="B50" s="6">
        <v>5</v>
      </c>
      <c r="C50" s="3" t="s">
        <v>78</v>
      </c>
      <c r="D50" s="4" t="s">
        <v>27</v>
      </c>
      <c r="E50" s="5">
        <v>1500000</v>
      </c>
      <c r="F50" s="12">
        <v>30</v>
      </c>
      <c r="G50" s="5">
        <f>+E50</f>
        <v>1500000</v>
      </c>
      <c r="H50" s="5"/>
      <c r="I50" s="5"/>
      <c r="J50" s="5"/>
      <c r="K50" s="5">
        <f t="shared" ref="K50" si="48">SUM(G50:I50)+J50</f>
        <v>1500000</v>
      </c>
      <c r="L50" s="5">
        <v>60000</v>
      </c>
      <c r="M50" s="5">
        <v>60000</v>
      </c>
      <c r="N50" s="5"/>
      <c r="O50" s="5"/>
      <c r="P50" s="5"/>
      <c r="Q50" s="5"/>
      <c r="R50" s="5"/>
      <c r="S50" s="5"/>
      <c r="T50" s="5">
        <f t="shared" ref="T50:T109" si="49">SUM(L50:S50)</f>
        <v>120000</v>
      </c>
      <c r="U50" s="7">
        <f>K50-T50</f>
        <v>1380000</v>
      </c>
      <c r="V50" s="7"/>
      <c r="W50" s="44"/>
      <c r="X50" s="7">
        <f t="shared" si="3"/>
        <v>1380000</v>
      </c>
    </row>
    <row r="51" spans="1:24" ht="24" x14ac:dyDescent="0.25">
      <c r="A51" s="90"/>
      <c r="B51" s="6">
        <v>6</v>
      </c>
      <c r="C51" s="11" t="s">
        <v>81</v>
      </c>
      <c r="D51" s="6" t="s">
        <v>27</v>
      </c>
      <c r="E51" s="5">
        <v>1500000</v>
      </c>
      <c r="F51" s="12">
        <v>30</v>
      </c>
      <c r="G51" s="5">
        <f t="shared" si="46"/>
        <v>1500000</v>
      </c>
      <c r="H51" s="5"/>
      <c r="I51" s="5"/>
      <c r="J51" s="5"/>
      <c r="K51" s="5">
        <f t="shared" ref="K51" si="50">SUM(G51:I51)+J51</f>
        <v>1500000</v>
      </c>
      <c r="L51" s="5">
        <f>+G51*4%</f>
        <v>60000</v>
      </c>
      <c r="M51" s="5">
        <f>+G51*4%</f>
        <v>60000</v>
      </c>
      <c r="N51" s="5"/>
      <c r="O51" s="5"/>
      <c r="P51" s="17"/>
      <c r="Q51" s="5"/>
      <c r="R51" s="5"/>
      <c r="S51" s="5"/>
      <c r="T51" s="5">
        <f t="shared" ref="T51" si="51">SUM(L51:S51)</f>
        <v>120000</v>
      </c>
      <c r="U51" s="7">
        <f t="shared" ref="U51:U60" si="52">+K51-T51</f>
        <v>1380000</v>
      </c>
      <c r="V51" s="7"/>
      <c r="W51" s="44"/>
      <c r="X51" s="7">
        <f t="shared" si="3"/>
        <v>1380000</v>
      </c>
    </row>
    <row r="52" spans="1:24" ht="21.75" customHeight="1" x14ac:dyDescent="0.25">
      <c r="A52" s="90"/>
      <c r="B52" s="6">
        <v>7</v>
      </c>
      <c r="C52" s="11" t="s">
        <v>82</v>
      </c>
      <c r="D52" s="6" t="s">
        <v>27</v>
      </c>
      <c r="E52" s="5">
        <v>1800000</v>
      </c>
      <c r="F52" s="12">
        <v>30</v>
      </c>
      <c r="G52" s="5">
        <f t="shared" si="46"/>
        <v>1800000</v>
      </c>
      <c r="H52" s="5">
        <v>0</v>
      </c>
      <c r="I52" s="5"/>
      <c r="J52" s="5"/>
      <c r="K52" s="5">
        <f t="shared" si="34"/>
        <v>1800000</v>
      </c>
      <c r="L52" s="5">
        <f>+G52*4%</f>
        <v>72000</v>
      </c>
      <c r="M52" s="5">
        <f>+G52*4%</f>
        <v>72000</v>
      </c>
      <c r="N52" s="5"/>
      <c r="O52" s="5"/>
      <c r="P52" s="5">
        <v>0</v>
      </c>
      <c r="Q52" s="5"/>
      <c r="R52" s="5"/>
      <c r="S52" s="5"/>
      <c r="T52" s="5">
        <f t="shared" si="49"/>
        <v>144000</v>
      </c>
      <c r="U52" s="7">
        <f t="shared" si="52"/>
        <v>1656000</v>
      </c>
      <c r="V52" s="7"/>
      <c r="W52" s="44"/>
      <c r="X52" s="7">
        <f t="shared" si="3"/>
        <v>1656000</v>
      </c>
    </row>
    <row r="53" spans="1:24" x14ac:dyDescent="0.25">
      <c r="A53" s="90"/>
      <c r="B53" s="6">
        <v>8</v>
      </c>
      <c r="C53" s="11" t="s">
        <v>83</v>
      </c>
      <c r="D53" s="6" t="s">
        <v>27</v>
      </c>
      <c r="E53" s="5">
        <v>737717</v>
      </c>
      <c r="F53" s="12">
        <v>30</v>
      </c>
      <c r="G53" s="5">
        <f t="shared" si="46"/>
        <v>737717</v>
      </c>
      <c r="H53" s="5">
        <v>83140</v>
      </c>
      <c r="I53" s="5"/>
      <c r="J53" s="5"/>
      <c r="K53" s="5">
        <f t="shared" ref="K53" si="53">SUM(G53:I53)+J53</f>
        <v>820857</v>
      </c>
      <c r="L53" s="5">
        <v>29509</v>
      </c>
      <c r="M53" s="5">
        <v>29509</v>
      </c>
      <c r="N53" s="5"/>
      <c r="O53" s="5"/>
      <c r="P53" s="17"/>
      <c r="Q53" s="5"/>
      <c r="R53" s="5"/>
      <c r="S53" s="5"/>
      <c r="T53" s="5">
        <f t="shared" si="49"/>
        <v>59018</v>
      </c>
      <c r="U53" s="7">
        <f t="shared" si="52"/>
        <v>761839</v>
      </c>
      <c r="V53" s="7"/>
      <c r="W53" s="44"/>
      <c r="X53" s="7">
        <f t="shared" si="3"/>
        <v>761839</v>
      </c>
    </row>
    <row r="54" spans="1:24" ht="21" customHeight="1" x14ac:dyDescent="0.25">
      <c r="A54" s="90"/>
      <c r="B54" s="6">
        <v>9</v>
      </c>
      <c r="C54" s="11" t="s">
        <v>183</v>
      </c>
      <c r="D54" s="6"/>
      <c r="E54" s="5">
        <v>3000000</v>
      </c>
      <c r="F54" s="12">
        <v>30</v>
      </c>
      <c r="G54" s="5">
        <f>+E54/30*F54</f>
        <v>3000000</v>
      </c>
      <c r="H54" s="5"/>
      <c r="I54" s="5"/>
      <c r="J54" s="5"/>
      <c r="K54" s="5">
        <f>SUM(G54:I54)+J54</f>
        <v>3000000</v>
      </c>
      <c r="L54" s="5">
        <f>+G54*4%</f>
        <v>120000</v>
      </c>
      <c r="M54" s="5">
        <f>+G54*4%</f>
        <v>120000</v>
      </c>
      <c r="N54" s="5"/>
      <c r="O54" s="5"/>
      <c r="P54" s="5"/>
      <c r="Q54" s="5"/>
      <c r="R54" s="5"/>
      <c r="S54" s="5"/>
      <c r="T54" s="5">
        <f>SUM(L54:S54)</f>
        <v>240000</v>
      </c>
      <c r="U54" s="7">
        <f>+K54-T54</f>
        <v>2760000</v>
      </c>
      <c r="V54" s="7"/>
      <c r="W54" s="44"/>
      <c r="X54" s="7">
        <f t="shared" si="3"/>
        <v>2760000</v>
      </c>
    </row>
    <row r="55" spans="1:24" ht="17.25" customHeight="1" x14ac:dyDescent="0.25">
      <c r="A55" s="90"/>
      <c r="B55" s="6">
        <v>10</v>
      </c>
      <c r="C55" s="11" t="s">
        <v>84</v>
      </c>
      <c r="D55" s="6" t="s">
        <v>27</v>
      </c>
      <c r="E55" s="5">
        <v>3500000</v>
      </c>
      <c r="F55" s="12">
        <v>30</v>
      </c>
      <c r="G55" s="5">
        <f>+E55-J55</f>
        <v>3500000</v>
      </c>
      <c r="H55" s="5"/>
      <c r="I55" s="5"/>
      <c r="J55" s="5"/>
      <c r="K55" s="5">
        <f t="shared" ref="K55" si="54">SUM(G55:I55)+J55</f>
        <v>3500000</v>
      </c>
      <c r="L55" s="5">
        <f>+E55*4%</f>
        <v>140000</v>
      </c>
      <c r="M55" s="5">
        <f>+E55*5%</f>
        <v>175000</v>
      </c>
      <c r="N55" s="5"/>
      <c r="O55" s="5"/>
      <c r="P55" s="5">
        <v>0</v>
      </c>
      <c r="Q55" s="5"/>
      <c r="R55" s="5"/>
      <c r="S55" s="5">
        <v>774624</v>
      </c>
      <c r="T55" s="5">
        <f t="shared" ref="T55" si="55">SUM(L55:S55)</f>
        <v>1089624</v>
      </c>
      <c r="U55" s="7">
        <f t="shared" si="52"/>
        <v>2410376</v>
      </c>
      <c r="V55" s="7"/>
      <c r="W55" s="44"/>
      <c r="X55" s="7">
        <f t="shared" si="3"/>
        <v>2410376</v>
      </c>
    </row>
    <row r="56" spans="1:24" ht="17.25" customHeight="1" x14ac:dyDescent="0.25">
      <c r="A56" s="90"/>
      <c r="B56" s="6">
        <v>11</v>
      </c>
      <c r="C56" s="11" t="s">
        <v>85</v>
      </c>
      <c r="D56" s="6" t="s">
        <v>27</v>
      </c>
      <c r="E56" s="5">
        <v>2500000</v>
      </c>
      <c r="F56" s="12">
        <v>30</v>
      </c>
      <c r="G56" s="5">
        <f t="shared" si="46"/>
        <v>2500000</v>
      </c>
      <c r="H56" s="5"/>
      <c r="I56" s="5">
        <v>700000</v>
      </c>
      <c r="J56" s="5"/>
      <c r="K56" s="5">
        <f>SUM(G56:I56)+J56</f>
        <v>3200000</v>
      </c>
      <c r="L56" s="5">
        <f>+G56*4%</f>
        <v>100000</v>
      </c>
      <c r="M56" s="5">
        <f>+G56*4%</f>
        <v>100000</v>
      </c>
      <c r="N56" s="5"/>
      <c r="O56" s="5"/>
      <c r="P56" s="5">
        <v>0</v>
      </c>
      <c r="Q56" s="5"/>
      <c r="R56" s="5"/>
      <c r="S56" s="5">
        <v>200210</v>
      </c>
      <c r="T56" s="5">
        <f t="shared" si="49"/>
        <v>400210</v>
      </c>
      <c r="U56" s="7">
        <f t="shared" si="52"/>
        <v>2799790</v>
      </c>
      <c r="V56" s="7"/>
      <c r="W56" s="44"/>
      <c r="X56" s="7">
        <f t="shared" si="3"/>
        <v>2799790</v>
      </c>
    </row>
    <row r="57" spans="1:24" ht="17.25" customHeight="1" x14ac:dyDescent="0.25">
      <c r="A57" s="90"/>
      <c r="B57" s="6">
        <v>12</v>
      </c>
      <c r="C57" s="11" t="s">
        <v>86</v>
      </c>
      <c r="D57" s="6" t="s">
        <v>27</v>
      </c>
      <c r="E57" s="5">
        <v>1600000</v>
      </c>
      <c r="F57" s="12">
        <v>30</v>
      </c>
      <c r="G57" s="5">
        <v>1333334</v>
      </c>
      <c r="H57" s="5"/>
      <c r="I57" s="5"/>
      <c r="J57" s="5">
        <v>266666</v>
      </c>
      <c r="K57" s="5">
        <f t="shared" ref="K57:K58" si="56">SUM(G57:I57)+J57</f>
        <v>1600000</v>
      </c>
      <c r="L57" s="5">
        <f>+E57*4%</f>
        <v>64000</v>
      </c>
      <c r="M57" s="5">
        <f>+E57*4%</f>
        <v>64000</v>
      </c>
      <c r="N57" s="5"/>
      <c r="O57" s="5"/>
      <c r="P57" s="5">
        <v>0</v>
      </c>
      <c r="Q57" s="5"/>
      <c r="R57" s="5"/>
      <c r="S57" s="5"/>
      <c r="T57" s="5">
        <f>SUM(L57:S57)</f>
        <v>128000</v>
      </c>
      <c r="U57" s="7">
        <f t="shared" si="52"/>
        <v>1472000</v>
      </c>
      <c r="V57" s="7"/>
      <c r="W57" s="44"/>
      <c r="X57" s="7">
        <f t="shared" si="3"/>
        <v>1472000</v>
      </c>
    </row>
    <row r="58" spans="1:24" ht="17.25" customHeight="1" x14ac:dyDescent="0.25">
      <c r="A58" s="90"/>
      <c r="B58" s="6">
        <v>13</v>
      </c>
      <c r="C58" s="11" t="s">
        <v>87</v>
      </c>
      <c r="D58" s="6" t="s">
        <v>27</v>
      </c>
      <c r="E58" s="5">
        <v>1500000</v>
      </c>
      <c r="F58" s="12">
        <v>30</v>
      </c>
      <c r="G58" s="5">
        <f>E58/30*F58</f>
        <v>1500000</v>
      </c>
      <c r="H58" s="5"/>
      <c r="I58" s="5"/>
      <c r="J58" s="5"/>
      <c r="K58" s="5">
        <f t="shared" si="56"/>
        <v>1500000</v>
      </c>
      <c r="L58" s="5">
        <f>+G58*4%</f>
        <v>60000</v>
      </c>
      <c r="M58" s="5">
        <f t="shared" ref="M58:M59" si="57">+G58*4%</f>
        <v>60000</v>
      </c>
      <c r="N58" s="5">
        <v>0</v>
      </c>
      <c r="O58" s="5"/>
      <c r="P58" s="5">
        <v>0</v>
      </c>
      <c r="Q58" s="5"/>
      <c r="R58" s="5"/>
      <c r="S58" s="5">
        <v>422966</v>
      </c>
      <c r="T58" s="5">
        <f t="shared" ref="T58" si="58">SUM(L58:S58)</f>
        <v>542966</v>
      </c>
      <c r="U58" s="7">
        <f t="shared" si="52"/>
        <v>957034</v>
      </c>
      <c r="V58" s="7"/>
      <c r="W58" s="44"/>
      <c r="X58" s="7">
        <f t="shared" si="3"/>
        <v>957034</v>
      </c>
    </row>
    <row r="59" spans="1:24" ht="17.25" customHeight="1" x14ac:dyDescent="0.25">
      <c r="A59" s="90"/>
      <c r="B59" s="6">
        <v>14</v>
      </c>
      <c r="C59" s="11" t="s">
        <v>175</v>
      </c>
      <c r="D59" s="6" t="s">
        <v>27</v>
      </c>
      <c r="E59" s="5">
        <v>737717</v>
      </c>
      <c r="F59" s="12">
        <v>30</v>
      </c>
      <c r="G59" s="5">
        <f>E59/30*F59</f>
        <v>737717</v>
      </c>
      <c r="H59" s="5">
        <f>+(83140/30)*F59</f>
        <v>83140</v>
      </c>
      <c r="I59" s="5"/>
      <c r="J59" s="5"/>
      <c r="K59" s="5">
        <f t="shared" ref="K59" si="59">SUM(G59:I59)+J59</f>
        <v>820857</v>
      </c>
      <c r="L59" s="5">
        <f>+G59*4%</f>
        <v>29508.68</v>
      </c>
      <c r="M59" s="5">
        <f t="shared" si="57"/>
        <v>29508.68</v>
      </c>
      <c r="N59" s="5"/>
      <c r="O59" s="5"/>
      <c r="P59" s="5">
        <v>0</v>
      </c>
      <c r="Q59" s="5"/>
      <c r="R59" s="5"/>
      <c r="S59" s="5"/>
      <c r="T59" s="5">
        <v>59018</v>
      </c>
      <c r="U59" s="7">
        <f t="shared" si="52"/>
        <v>761839</v>
      </c>
      <c r="V59" s="7"/>
      <c r="W59" s="44"/>
      <c r="X59" s="7">
        <f t="shared" si="3"/>
        <v>761839</v>
      </c>
    </row>
    <row r="60" spans="1:24" ht="24" x14ac:dyDescent="0.25">
      <c r="A60" s="90"/>
      <c r="B60" s="6">
        <v>15</v>
      </c>
      <c r="C60" s="11" t="s">
        <v>88</v>
      </c>
      <c r="D60" s="6" t="s">
        <v>27</v>
      </c>
      <c r="E60" s="5">
        <v>2000000</v>
      </c>
      <c r="F60" s="12">
        <v>30</v>
      </c>
      <c r="G60" s="5">
        <f>E60/30*F60</f>
        <v>2000000.0000000002</v>
      </c>
      <c r="H60" s="5"/>
      <c r="I60" s="5"/>
      <c r="J60" s="5"/>
      <c r="K60" s="5">
        <f t="shared" si="34"/>
        <v>2000000.0000000002</v>
      </c>
      <c r="L60" s="5">
        <f>+G60*4%</f>
        <v>80000.000000000015</v>
      </c>
      <c r="M60" s="5">
        <v>80000</v>
      </c>
      <c r="N60" s="5"/>
      <c r="O60" s="5"/>
      <c r="P60" s="5">
        <v>0</v>
      </c>
      <c r="Q60" s="5"/>
      <c r="R60" s="5"/>
      <c r="S60" s="5">
        <v>323803</v>
      </c>
      <c r="T60" s="5">
        <f t="shared" si="49"/>
        <v>483803</v>
      </c>
      <c r="U60" s="7">
        <f t="shared" si="52"/>
        <v>1516197.0000000002</v>
      </c>
      <c r="V60" s="7"/>
      <c r="W60" s="44"/>
      <c r="X60" s="7">
        <f t="shared" si="3"/>
        <v>1516197.0000000002</v>
      </c>
    </row>
    <row r="61" spans="1:24" ht="18.75" customHeight="1" x14ac:dyDescent="0.25">
      <c r="A61" s="90"/>
      <c r="B61" s="6">
        <v>16</v>
      </c>
      <c r="C61" s="11" t="s">
        <v>189</v>
      </c>
      <c r="D61" s="6"/>
      <c r="E61" s="5">
        <v>2000000</v>
      </c>
      <c r="F61" s="12">
        <v>29</v>
      </c>
      <c r="G61" s="5">
        <f>E61/30*F61</f>
        <v>1933333.3333333335</v>
      </c>
      <c r="H61" s="5"/>
      <c r="I61" s="5"/>
      <c r="J61" s="5"/>
      <c r="K61" s="5">
        <f t="shared" si="34"/>
        <v>1933333.3333333335</v>
      </c>
      <c r="L61" s="5">
        <f>+G61*4%</f>
        <v>77333.333333333343</v>
      </c>
      <c r="M61" s="5">
        <f>+G61*4%</f>
        <v>77333.333333333343</v>
      </c>
      <c r="N61" s="5"/>
      <c r="O61" s="5"/>
      <c r="P61" s="5">
        <v>0</v>
      </c>
      <c r="Q61" s="5"/>
      <c r="R61" s="5"/>
      <c r="S61" s="5"/>
      <c r="T61" s="5">
        <f>SUM(L61:S61)</f>
        <v>154666.66666666669</v>
      </c>
      <c r="U61" s="7">
        <f>+K61-T61</f>
        <v>1778666.6666666667</v>
      </c>
      <c r="V61" s="7"/>
      <c r="W61" s="44"/>
      <c r="X61" s="7">
        <f t="shared" si="3"/>
        <v>1778666.6666666667</v>
      </c>
    </row>
    <row r="62" spans="1:24" x14ac:dyDescent="0.25">
      <c r="A62" s="90"/>
      <c r="B62" s="6">
        <v>17</v>
      </c>
      <c r="C62" s="3" t="s">
        <v>89</v>
      </c>
      <c r="D62" s="4" t="s">
        <v>27</v>
      </c>
      <c r="E62" s="5">
        <v>3500000</v>
      </c>
      <c r="F62" s="12">
        <v>30</v>
      </c>
      <c r="G62" s="5">
        <f>E62/30*F62</f>
        <v>3500000</v>
      </c>
      <c r="H62" s="5"/>
      <c r="I62" s="5"/>
      <c r="J62" s="5"/>
      <c r="K62" s="5">
        <f t="shared" si="34"/>
        <v>3500000</v>
      </c>
      <c r="L62" s="5">
        <f>+K62*4%</f>
        <v>140000</v>
      </c>
      <c r="M62" s="5">
        <f>+K62*5%</f>
        <v>175000</v>
      </c>
      <c r="N62" s="5"/>
      <c r="O62" s="5"/>
      <c r="P62" s="5">
        <v>0</v>
      </c>
      <c r="Q62" s="5"/>
      <c r="R62" s="5"/>
      <c r="S62" s="5"/>
      <c r="T62" s="5">
        <f t="shared" si="49"/>
        <v>315000</v>
      </c>
      <c r="U62" s="7">
        <f t="shared" ref="U62:U73" si="60">K62-T62</f>
        <v>3185000</v>
      </c>
      <c r="V62" s="7"/>
      <c r="W62" s="44"/>
      <c r="X62" s="7">
        <f t="shared" si="3"/>
        <v>3185000</v>
      </c>
    </row>
    <row r="63" spans="1:24" x14ac:dyDescent="0.25">
      <c r="A63" s="90"/>
      <c r="B63" s="6">
        <v>18</v>
      </c>
      <c r="C63" s="11" t="s">
        <v>90</v>
      </c>
      <c r="D63" s="6" t="s">
        <v>27</v>
      </c>
      <c r="E63" s="5">
        <v>4000000</v>
      </c>
      <c r="F63" s="12">
        <v>30</v>
      </c>
      <c r="G63" s="5">
        <f t="shared" ref="G63:G110" si="61">E63/30*F63</f>
        <v>4000000.0000000005</v>
      </c>
      <c r="H63" s="5"/>
      <c r="I63" s="5">
        <v>300000</v>
      </c>
      <c r="J63" s="5"/>
      <c r="K63" s="5">
        <f>SUM(G63:I63)+J63</f>
        <v>4300000</v>
      </c>
      <c r="L63" s="5">
        <v>160000</v>
      </c>
      <c r="M63" s="5">
        <v>200000</v>
      </c>
      <c r="N63" s="5"/>
      <c r="O63" s="5"/>
      <c r="P63" s="5">
        <v>3000</v>
      </c>
      <c r="Q63" s="5"/>
      <c r="R63" s="5"/>
      <c r="S63" s="5">
        <v>0</v>
      </c>
      <c r="T63" s="5">
        <f t="shared" si="49"/>
        <v>363000</v>
      </c>
      <c r="U63" s="7">
        <f t="shared" si="60"/>
        <v>3937000</v>
      </c>
      <c r="V63" s="7"/>
      <c r="W63" s="44"/>
      <c r="X63" s="7">
        <f t="shared" si="3"/>
        <v>3937000</v>
      </c>
    </row>
    <row r="64" spans="1:24" x14ac:dyDescent="0.25">
      <c r="A64" s="90"/>
      <c r="B64" s="6">
        <v>19</v>
      </c>
      <c r="C64" s="11" t="s">
        <v>91</v>
      </c>
      <c r="D64" s="6" t="s">
        <v>27</v>
      </c>
      <c r="E64" s="5">
        <v>800000</v>
      </c>
      <c r="F64" s="12">
        <v>30</v>
      </c>
      <c r="G64" s="5">
        <f t="shared" si="61"/>
        <v>800000</v>
      </c>
      <c r="H64" s="5">
        <f>+(83140/30)*F64</f>
        <v>83140</v>
      </c>
      <c r="I64" s="5"/>
      <c r="J64" s="5"/>
      <c r="K64" s="5">
        <f t="shared" si="34"/>
        <v>883140</v>
      </c>
      <c r="L64" s="5">
        <f>+G64*4%</f>
        <v>32000</v>
      </c>
      <c r="M64" s="5">
        <f>+G64*4%</f>
        <v>32000</v>
      </c>
      <c r="N64" s="5">
        <v>83333</v>
      </c>
      <c r="O64" s="5"/>
      <c r="P64" s="5"/>
      <c r="Q64" s="5"/>
      <c r="R64" s="5"/>
      <c r="S64" s="5"/>
      <c r="T64" s="5">
        <f t="shared" si="49"/>
        <v>147333</v>
      </c>
      <c r="U64" s="7">
        <f t="shared" si="60"/>
        <v>735807</v>
      </c>
      <c r="V64" s="7"/>
      <c r="W64" s="44"/>
      <c r="X64" s="7">
        <f t="shared" si="3"/>
        <v>735807</v>
      </c>
    </row>
    <row r="65" spans="1:27" ht="17.25" customHeight="1" x14ac:dyDescent="0.25">
      <c r="A65" s="90"/>
      <c r="B65" s="6">
        <v>20</v>
      </c>
      <c r="C65" s="11" t="s">
        <v>92</v>
      </c>
      <c r="D65" s="6" t="s">
        <v>27</v>
      </c>
      <c r="E65" s="5">
        <v>3500000</v>
      </c>
      <c r="F65" s="12">
        <v>30</v>
      </c>
      <c r="G65" s="5">
        <f t="shared" si="61"/>
        <v>3500000</v>
      </c>
      <c r="H65" s="5">
        <v>0</v>
      </c>
      <c r="I65" s="5"/>
      <c r="J65" s="5"/>
      <c r="K65" s="5">
        <f t="shared" si="34"/>
        <v>3500000</v>
      </c>
      <c r="L65" s="5">
        <v>140000</v>
      </c>
      <c r="M65" s="5">
        <v>175000</v>
      </c>
      <c r="N65" s="5"/>
      <c r="O65" s="5"/>
      <c r="P65" s="5">
        <v>0</v>
      </c>
      <c r="Q65" s="5"/>
      <c r="R65" s="5"/>
      <c r="S65" s="5"/>
      <c r="T65" s="5">
        <f t="shared" si="49"/>
        <v>315000</v>
      </c>
      <c r="U65" s="7">
        <f t="shared" si="60"/>
        <v>3185000</v>
      </c>
      <c r="V65" s="7"/>
      <c r="W65" s="44"/>
      <c r="X65" s="7">
        <f t="shared" si="3"/>
        <v>3185000</v>
      </c>
    </row>
    <row r="66" spans="1:27" ht="17.25" customHeight="1" x14ac:dyDescent="0.25">
      <c r="A66" s="90"/>
      <c r="B66" s="6">
        <v>21</v>
      </c>
      <c r="C66" s="11" t="s">
        <v>93</v>
      </c>
      <c r="D66" s="6" t="s">
        <v>27</v>
      </c>
      <c r="E66" s="5">
        <v>1550000</v>
      </c>
      <c r="F66" s="12">
        <v>30</v>
      </c>
      <c r="G66" s="5">
        <f t="shared" si="61"/>
        <v>1550000</v>
      </c>
      <c r="H66" s="5"/>
      <c r="I66" s="5"/>
      <c r="J66" s="5"/>
      <c r="K66" s="5">
        <f t="shared" ref="K66:K69" si="62">SUM(G66:I66)+J66</f>
        <v>1550000</v>
      </c>
      <c r="L66" s="5">
        <f>+E66*4%</f>
        <v>62000</v>
      </c>
      <c r="M66" s="5">
        <f>+E66*4%</f>
        <v>62000</v>
      </c>
      <c r="N66" s="5"/>
      <c r="O66" s="5"/>
      <c r="P66" s="5"/>
      <c r="Q66" s="5"/>
      <c r="R66" s="5"/>
      <c r="S66" s="5"/>
      <c r="T66" s="5">
        <f t="shared" ref="T66:T69" si="63">SUM(L66:S66)</f>
        <v>124000</v>
      </c>
      <c r="U66" s="7">
        <f t="shared" si="60"/>
        <v>1426000</v>
      </c>
      <c r="V66" s="7"/>
      <c r="W66" s="44"/>
      <c r="X66" s="7">
        <f t="shared" si="3"/>
        <v>1426000</v>
      </c>
    </row>
    <row r="67" spans="1:27" ht="17.25" customHeight="1" x14ac:dyDescent="0.25">
      <c r="A67" s="90"/>
      <c r="B67" s="6">
        <v>22</v>
      </c>
      <c r="C67" s="11" t="s">
        <v>165</v>
      </c>
      <c r="D67" s="6"/>
      <c r="E67" s="5">
        <v>2800000</v>
      </c>
      <c r="F67" s="12">
        <v>30</v>
      </c>
      <c r="G67" s="5">
        <f t="shared" si="61"/>
        <v>2800000</v>
      </c>
      <c r="H67" s="5"/>
      <c r="I67" s="5"/>
      <c r="J67" s="5"/>
      <c r="K67" s="5">
        <f t="shared" ref="K67" si="64">SUM(G67:I67)+J67</f>
        <v>2800000</v>
      </c>
      <c r="L67" s="5">
        <v>112000</v>
      </c>
      <c r="M67" s="5">
        <v>112000</v>
      </c>
      <c r="N67" s="5"/>
      <c r="O67" s="5"/>
      <c r="P67" s="5"/>
      <c r="Q67" s="5"/>
      <c r="R67" s="5"/>
      <c r="S67" s="5"/>
      <c r="T67" s="5">
        <f t="shared" ref="T67:T68" si="65">SUM(L67:S67)</f>
        <v>224000</v>
      </c>
      <c r="U67" s="7">
        <f t="shared" si="60"/>
        <v>2576000</v>
      </c>
      <c r="V67" s="7"/>
      <c r="W67" s="44"/>
      <c r="X67" s="7">
        <f t="shared" si="3"/>
        <v>2576000</v>
      </c>
    </row>
    <row r="68" spans="1:27" ht="17.25" customHeight="1" x14ac:dyDescent="0.25">
      <c r="A68" s="90"/>
      <c r="B68" s="6">
        <v>23</v>
      </c>
      <c r="C68" s="11" t="s">
        <v>94</v>
      </c>
      <c r="D68" s="6"/>
      <c r="E68" s="5">
        <v>1200000</v>
      </c>
      <c r="F68" s="12">
        <v>30</v>
      </c>
      <c r="G68" s="5">
        <f>+E68/30*F68</f>
        <v>1200000</v>
      </c>
      <c r="H68" s="5">
        <f>+(83140/30)*F68</f>
        <v>83140</v>
      </c>
      <c r="I68" s="5"/>
      <c r="J68" s="5"/>
      <c r="K68" s="5">
        <f t="shared" ref="K68" si="66">SUM(G68:I68)+J68</f>
        <v>1283140</v>
      </c>
      <c r="L68" s="5">
        <f>+G68*4%</f>
        <v>48000</v>
      </c>
      <c r="M68" s="5">
        <f>+G68*4%</f>
        <v>48000</v>
      </c>
      <c r="N68" s="5"/>
      <c r="O68" s="5"/>
      <c r="P68" s="5"/>
      <c r="Q68" s="5"/>
      <c r="R68" s="5"/>
      <c r="S68" s="5"/>
      <c r="T68" s="5">
        <f t="shared" si="65"/>
        <v>96000</v>
      </c>
      <c r="U68" s="7">
        <f t="shared" si="60"/>
        <v>1187140</v>
      </c>
      <c r="V68" s="7"/>
      <c r="W68" s="44"/>
      <c r="X68" s="7">
        <f t="shared" si="3"/>
        <v>1187140</v>
      </c>
    </row>
    <row r="69" spans="1:27" ht="20.25" customHeight="1" x14ac:dyDescent="0.25">
      <c r="A69" s="90"/>
      <c r="B69" s="6">
        <v>24</v>
      </c>
      <c r="C69" s="11" t="s">
        <v>166</v>
      </c>
      <c r="D69" s="6" t="s">
        <v>27</v>
      </c>
      <c r="E69" s="5">
        <v>1500000</v>
      </c>
      <c r="F69" s="12">
        <v>30</v>
      </c>
      <c r="G69" s="5">
        <v>1500000</v>
      </c>
      <c r="H69" s="5"/>
      <c r="I69" s="5"/>
      <c r="J69" s="5"/>
      <c r="K69" s="5">
        <f t="shared" si="62"/>
        <v>1500000</v>
      </c>
      <c r="L69" s="5">
        <f>+K69*4%</f>
        <v>60000</v>
      </c>
      <c r="M69" s="5">
        <f>+K69*4%</f>
        <v>60000</v>
      </c>
      <c r="N69" s="5"/>
      <c r="O69" s="5"/>
      <c r="P69" s="5"/>
      <c r="Q69" s="5"/>
      <c r="R69" s="5"/>
      <c r="S69" s="5"/>
      <c r="T69" s="5">
        <f t="shared" si="63"/>
        <v>120000</v>
      </c>
      <c r="U69" s="7">
        <f>K69-T69</f>
        <v>1380000</v>
      </c>
      <c r="V69" s="7"/>
      <c r="W69" s="44"/>
      <c r="X69" s="7">
        <f t="shared" ref="X69:X112" si="67">U69+V69-W69</f>
        <v>1380000</v>
      </c>
    </row>
    <row r="70" spans="1:27" ht="29.25" customHeight="1" x14ac:dyDescent="0.25">
      <c r="A70" s="90"/>
      <c r="B70" s="6">
        <v>25</v>
      </c>
      <c r="C70" s="11" t="s">
        <v>167</v>
      </c>
      <c r="D70" s="6" t="s">
        <v>27</v>
      </c>
      <c r="E70" s="5">
        <v>2500000</v>
      </c>
      <c r="F70" s="12">
        <v>30</v>
      </c>
      <c r="G70" s="5">
        <f>+E70-J70</f>
        <v>2500000</v>
      </c>
      <c r="H70" s="5"/>
      <c r="I70" s="5"/>
      <c r="J70" s="5"/>
      <c r="K70" s="5">
        <f t="shared" si="34"/>
        <v>2500000</v>
      </c>
      <c r="L70" s="5">
        <f>+G70*4%</f>
        <v>100000</v>
      </c>
      <c r="M70" s="5">
        <f>+G70*4%</f>
        <v>100000</v>
      </c>
      <c r="N70" s="5"/>
      <c r="O70" s="5"/>
      <c r="P70" s="5">
        <v>0</v>
      </c>
      <c r="Q70" s="5"/>
      <c r="R70" s="5"/>
      <c r="S70" s="5">
        <v>363928</v>
      </c>
      <c r="T70" s="5">
        <f>SUM(L70:S70)</f>
        <v>563928</v>
      </c>
      <c r="U70" s="7">
        <f>K70-T70</f>
        <v>1936072</v>
      </c>
      <c r="V70" s="7"/>
      <c r="W70" s="44"/>
      <c r="X70" s="7">
        <f t="shared" si="67"/>
        <v>1936072</v>
      </c>
      <c r="AA70" s="45">
        <f>1196000+644000</f>
        <v>1840000</v>
      </c>
    </row>
    <row r="71" spans="1:27" ht="25.5" customHeight="1" x14ac:dyDescent="0.25">
      <c r="A71" s="90"/>
      <c r="B71" s="6">
        <v>26</v>
      </c>
      <c r="C71" s="11" t="s">
        <v>156</v>
      </c>
      <c r="D71" s="6"/>
      <c r="E71" s="5">
        <v>368858</v>
      </c>
      <c r="F71" s="12">
        <v>30</v>
      </c>
      <c r="G71" s="5">
        <f t="shared" si="61"/>
        <v>368858</v>
      </c>
      <c r="H71" s="5"/>
      <c r="I71" s="5"/>
      <c r="J71" s="5"/>
      <c r="K71" s="5">
        <f t="shared" ref="K71" si="68">SUM(G71:I71)+J71</f>
        <v>368858</v>
      </c>
      <c r="L71" s="5"/>
      <c r="M71" s="5"/>
      <c r="N71" s="5"/>
      <c r="O71" s="5"/>
      <c r="P71" s="5"/>
      <c r="Q71" s="5"/>
      <c r="R71" s="5"/>
      <c r="S71" s="5"/>
      <c r="T71" s="5">
        <f t="shared" ref="T71" si="69">SUM(L71:S71)</f>
        <v>0</v>
      </c>
      <c r="U71" s="7">
        <f t="shared" ref="U71" si="70">K71-T71</f>
        <v>368858</v>
      </c>
      <c r="V71" s="7"/>
      <c r="W71" s="44"/>
      <c r="X71" s="7">
        <f t="shared" si="67"/>
        <v>368858</v>
      </c>
    </row>
    <row r="72" spans="1:27" x14ac:dyDescent="0.25">
      <c r="A72" s="90"/>
      <c r="B72" s="6">
        <v>27</v>
      </c>
      <c r="C72" s="3" t="s">
        <v>101</v>
      </c>
      <c r="D72" s="4" t="s">
        <v>27</v>
      </c>
      <c r="E72" s="5">
        <v>800000</v>
      </c>
      <c r="F72" s="12">
        <v>30</v>
      </c>
      <c r="G72" s="5">
        <f t="shared" si="61"/>
        <v>800000</v>
      </c>
      <c r="H72" s="5">
        <f>+(83140/30)*F72</f>
        <v>83140</v>
      </c>
      <c r="I72" s="5"/>
      <c r="J72" s="5"/>
      <c r="K72" s="5">
        <f t="shared" si="34"/>
        <v>883140</v>
      </c>
      <c r="L72" s="5">
        <f>+G72*4%</f>
        <v>32000</v>
      </c>
      <c r="M72" s="5">
        <f>+G72*4%</f>
        <v>32000</v>
      </c>
      <c r="N72" s="5"/>
      <c r="O72" s="5"/>
      <c r="P72" s="5"/>
      <c r="Q72" s="5"/>
      <c r="R72" s="5"/>
      <c r="S72" s="5"/>
      <c r="T72" s="5">
        <f t="shared" si="49"/>
        <v>64000</v>
      </c>
      <c r="U72" s="7">
        <f t="shared" si="60"/>
        <v>819140</v>
      </c>
      <c r="V72" s="7"/>
      <c r="W72" s="44"/>
      <c r="X72" s="7">
        <f t="shared" si="67"/>
        <v>819140</v>
      </c>
      <c r="AA72" s="45">
        <f>1840000-1196000</f>
        <v>644000</v>
      </c>
    </row>
    <row r="73" spans="1:27" x14ac:dyDescent="0.25">
      <c r="A73" s="90"/>
      <c r="B73" s="6">
        <v>28</v>
      </c>
      <c r="C73" s="3" t="s">
        <v>176</v>
      </c>
      <c r="D73" s="4" t="s">
        <v>27</v>
      </c>
      <c r="E73" s="5">
        <v>1000000</v>
      </c>
      <c r="F73" s="12">
        <v>30</v>
      </c>
      <c r="G73" s="5">
        <f t="shared" si="61"/>
        <v>1000000.0000000001</v>
      </c>
      <c r="H73" s="5">
        <f>+(83140/30)*F73</f>
        <v>83140</v>
      </c>
      <c r="I73" s="5"/>
      <c r="J73" s="5"/>
      <c r="K73" s="5">
        <f t="shared" ref="K73" si="71">SUM(G73:I73)+J73</f>
        <v>1083140</v>
      </c>
      <c r="L73" s="5">
        <f>+G73*4%</f>
        <v>40000.000000000007</v>
      </c>
      <c r="M73" s="5">
        <f>+G73*4%</f>
        <v>40000.000000000007</v>
      </c>
      <c r="N73" s="5"/>
      <c r="O73" s="5"/>
      <c r="P73" s="5"/>
      <c r="Q73" s="5"/>
      <c r="R73" s="5"/>
      <c r="S73" s="5"/>
      <c r="T73" s="5">
        <f t="shared" ref="T73" si="72">SUM(L73:S73)</f>
        <v>80000.000000000015</v>
      </c>
      <c r="U73" s="7">
        <f t="shared" si="60"/>
        <v>1003140</v>
      </c>
      <c r="V73" s="7"/>
      <c r="W73" s="44"/>
      <c r="X73" s="7">
        <f t="shared" si="67"/>
        <v>1003140</v>
      </c>
      <c r="AA73" s="45">
        <f>1840000-1196000</f>
        <v>644000</v>
      </c>
    </row>
    <row r="74" spans="1:27" ht="21" customHeight="1" x14ac:dyDescent="0.25">
      <c r="A74" s="90"/>
      <c r="B74" s="6">
        <v>29</v>
      </c>
      <c r="C74" s="11" t="s">
        <v>184</v>
      </c>
      <c r="D74" s="6"/>
      <c r="E74" s="5">
        <v>3500000</v>
      </c>
      <c r="F74" s="12">
        <v>30</v>
      </c>
      <c r="G74" s="5">
        <f>+E74/30*F74</f>
        <v>3500000</v>
      </c>
      <c r="H74" s="5"/>
      <c r="I74" s="5"/>
      <c r="J74" s="5"/>
      <c r="K74" s="5">
        <f t="shared" ref="K74" si="73">SUM(G74:I74)+J74</f>
        <v>3500000</v>
      </c>
      <c r="L74" s="5">
        <f>+G74*4%</f>
        <v>140000</v>
      </c>
      <c r="M74" s="5">
        <f>+G74*5%</f>
        <v>175000</v>
      </c>
      <c r="N74" s="5"/>
      <c r="O74" s="5"/>
      <c r="P74" s="5"/>
      <c r="Q74" s="5"/>
      <c r="R74" s="5"/>
      <c r="S74" s="5">
        <v>1104732</v>
      </c>
      <c r="T74" s="5">
        <f>SUM(L74:S74)</f>
        <v>1419732</v>
      </c>
      <c r="U74" s="7">
        <f>+K74-T74</f>
        <v>2080268</v>
      </c>
      <c r="V74" s="7"/>
      <c r="W74" s="44"/>
      <c r="X74" s="7">
        <f t="shared" si="67"/>
        <v>2080268</v>
      </c>
    </row>
    <row r="75" spans="1:27" x14ac:dyDescent="0.25">
      <c r="A75" s="90"/>
      <c r="B75" s="6">
        <v>30</v>
      </c>
      <c r="C75" s="11" t="s">
        <v>105</v>
      </c>
      <c r="D75" s="6" t="s">
        <v>27</v>
      </c>
      <c r="E75" s="5">
        <v>4000000</v>
      </c>
      <c r="F75" s="12">
        <v>30</v>
      </c>
      <c r="G75" s="5">
        <f>+E75-J75</f>
        <v>4000000</v>
      </c>
      <c r="H75" s="5"/>
      <c r="I75" s="5"/>
      <c r="J75" s="5"/>
      <c r="K75" s="5">
        <f t="shared" ref="K75" si="74">SUM(G75:I75)+J75</f>
        <v>4000000</v>
      </c>
      <c r="L75" s="5">
        <v>160000</v>
      </c>
      <c r="M75" s="5">
        <v>200000</v>
      </c>
      <c r="N75" s="5"/>
      <c r="O75" s="5"/>
      <c r="P75" s="5">
        <v>3000</v>
      </c>
      <c r="Q75" s="5"/>
      <c r="R75" s="5"/>
      <c r="S75" s="5"/>
      <c r="T75" s="5">
        <f t="shared" ref="T75" si="75">SUM(L75:S75)</f>
        <v>363000</v>
      </c>
      <c r="U75" s="7">
        <f>+K75-T75</f>
        <v>3637000</v>
      </c>
      <c r="V75" s="7"/>
      <c r="W75" s="44"/>
      <c r="X75" s="7">
        <f t="shared" si="67"/>
        <v>3637000</v>
      </c>
      <c r="Y75" s="45" t="s">
        <v>106</v>
      </c>
    </row>
    <row r="76" spans="1:27" ht="21" customHeight="1" x14ac:dyDescent="0.25">
      <c r="A76" s="90"/>
      <c r="B76" s="6">
        <v>31</v>
      </c>
      <c r="C76" s="3" t="s">
        <v>178</v>
      </c>
      <c r="D76" s="4"/>
      <c r="E76" s="5">
        <v>1600000</v>
      </c>
      <c r="F76" s="12">
        <v>30</v>
      </c>
      <c r="G76" s="5">
        <f t="shared" ref="G76" si="76">E76/30*F76</f>
        <v>1600000</v>
      </c>
      <c r="H76" s="5"/>
      <c r="I76" s="5"/>
      <c r="J76" s="5"/>
      <c r="K76" s="5">
        <f t="shared" ref="K76" si="77">SUM(G76:I76)+J76</f>
        <v>1600000</v>
      </c>
      <c r="L76" s="5">
        <f>+G76*4%</f>
        <v>64000</v>
      </c>
      <c r="M76" s="5">
        <f>+G76*4%</f>
        <v>64000</v>
      </c>
      <c r="N76" s="5"/>
      <c r="O76" s="5"/>
      <c r="P76" s="5"/>
      <c r="Q76" s="5"/>
      <c r="R76" s="5"/>
      <c r="S76" s="5"/>
      <c r="T76" s="5">
        <f>SUM(L76:S76)</f>
        <v>128000</v>
      </c>
      <c r="U76" s="7">
        <f t="shared" ref="U76" si="78">K76-T76</f>
        <v>1472000</v>
      </c>
      <c r="V76" s="7"/>
      <c r="W76" s="44"/>
      <c r="X76" s="7">
        <f t="shared" si="67"/>
        <v>1472000</v>
      </c>
    </row>
    <row r="77" spans="1:27" x14ac:dyDescent="0.25">
      <c r="A77" s="90"/>
      <c r="B77" s="6">
        <v>32</v>
      </c>
      <c r="C77" s="11" t="s">
        <v>107</v>
      </c>
      <c r="D77" s="6" t="s">
        <v>27</v>
      </c>
      <c r="E77" s="5">
        <v>1500000</v>
      </c>
      <c r="F77" s="12">
        <v>30</v>
      </c>
      <c r="G77" s="5">
        <f t="shared" si="61"/>
        <v>1500000</v>
      </c>
      <c r="H77" s="5"/>
      <c r="I77" s="5"/>
      <c r="J77" s="5"/>
      <c r="K77" s="5">
        <f t="shared" ref="K77" si="79">SUM(G77:I77)+J77</f>
        <v>1500000</v>
      </c>
      <c r="L77" s="5">
        <f>+G77*4%</f>
        <v>60000</v>
      </c>
      <c r="M77" s="5">
        <f>+G77*4%</f>
        <v>60000</v>
      </c>
      <c r="N77" s="5"/>
      <c r="O77" s="5"/>
      <c r="P77" s="5">
        <v>0</v>
      </c>
      <c r="Q77" s="5"/>
      <c r="R77" s="5"/>
      <c r="S77" s="5"/>
      <c r="T77" s="5">
        <f t="shared" ref="T77" si="80">SUM(L77:S77)</f>
        <v>120000</v>
      </c>
      <c r="U77" s="7">
        <f t="shared" ref="U77:U82" si="81">+K77-T77</f>
        <v>1380000</v>
      </c>
      <c r="V77" s="7"/>
      <c r="W77" s="44"/>
      <c r="X77" s="7">
        <f t="shared" si="67"/>
        <v>1380000</v>
      </c>
      <c r="Y77" s="45" t="s">
        <v>106</v>
      </c>
    </row>
    <row r="78" spans="1:27" x14ac:dyDescent="0.25">
      <c r="A78" s="90"/>
      <c r="B78" s="6">
        <v>33</v>
      </c>
      <c r="C78" s="11" t="s">
        <v>108</v>
      </c>
      <c r="D78" s="6" t="s">
        <v>27</v>
      </c>
      <c r="E78" s="5">
        <v>3000000</v>
      </c>
      <c r="F78" s="12">
        <v>30</v>
      </c>
      <c r="G78" s="5">
        <f t="shared" si="61"/>
        <v>3000000</v>
      </c>
      <c r="H78" s="5"/>
      <c r="I78" s="5"/>
      <c r="J78" s="5"/>
      <c r="K78" s="5">
        <f t="shared" si="34"/>
        <v>3000000</v>
      </c>
      <c r="L78" s="5">
        <f>+E78*4%</f>
        <v>120000</v>
      </c>
      <c r="M78" s="5">
        <f>+E78*5%</f>
        <v>150000</v>
      </c>
      <c r="N78" s="5"/>
      <c r="O78" s="5"/>
      <c r="P78" s="17">
        <v>0</v>
      </c>
      <c r="Q78" s="5"/>
      <c r="R78" s="5">
        <v>0</v>
      </c>
      <c r="S78" s="5">
        <v>795577</v>
      </c>
      <c r="T78" s="5">
        <f t="shared" si="49"/>
        <v>1065577</v>
      </c>
      <c r="U78" s="7">
        <f t="shared" si="81"/>
        <v>1934423</v>
      </c>
      <c r="V78" s="7"/>
      <c r="W78" s="44"/>
      <c r="X78" s="7">
        <f t="shared" si="67"/>
        <v>1934423</v>
      </c>
    </row>
    <row r="79" spans="1:27" x14ac:dyDescent="0.25">
      <c r="A79" s="90"/>
      <c r="B79" s="6">
        <v>34</v>
      </c>
      <c r="C79" s="11" t="s">
        <v>168</v>
      </c>
      <c r="D79" s="6"/>
      <c r="E79" s="5">
        <v>4500000</v>
      </c>
      <c r="F79" s="12">
        <v>30</v>
      </c>
      <c r="G79" s="5">
        <f t="shared" si="61"/>
        <v>4500000</v>
      </c>
      <c r="H79" s="5"/>
      <c r="I79" s="5"/>
      <c r="J79" s="5"/>
      <c r="K79" s="5">
        <f t="shared" ref="K79:K82" si="82">SUM(G79:I79)+J79</f>
        <v>4500000</v>
      </c>
      <c r="L79" s="5">
        <f>+G79*4%</f>
        <v>180000</v>
      </c>
      <c r="M79" s="5">
        <f>+G79*5%</f>
        <v>225000</v>
      </c>
      <c r="N79" s="5"/>
      <c r="O79" s="5"/>
      <c r="P79" s="17">
        <v>18000</v>
      </c>
      <c r="Q79" s="5"/>
      <c r="R79" s="5"/>
      <c r="S79" s="5"/>
      <c r="T79" s="5">
        <f t="shared" ref="T79:T80" si="83">SUM(L79:S79)</f>
        <v>423000</v>
      </c>
      <c r="U79" s="7">
        <f t="shared" si="81"/>
        <v>4077000</v>
      </c>
      <c r="V79" s="7"/>
      <c r="W79" s="44"/>
      <c r="X79" s="7">
        <f t="shared" si="67"/>
        <v>4077000</v>
      </c>
    </row>
    <row r="80" spans="1:27" x14ac:dyDescent="0.25">
      <c r="A80" s="90"/>
      <c r="B80" s="6">
        <v>35</v>
      </c>
      <c r="C80" s="11" t="s">
        <v>109</v>
      </c>
      <c r="D80" s="6"/>
      <c r="E80" s="5">
        <v>4500000</v>
      </c>
      <c r="F80" s="12">
        <v>30</v>
      </c>
      <c r="G80" s="5">
        <f t="shared" si="61"/>
        <v>4500000</v>
      </c>
      <c r="H80" s="5"/>
      <c r="I80" s="5"/>
      <c r="J80" s="5"/>
      <c r="K80" s="5">
        <f t="shared" si="82"/>
        <v>4500000</v>
      </c>
      <c r="L80" s="5">
        <f>+G80*4%</f>
        <v>180000</v>
      </c>
      <c r="M80" s="5">
        <f>+G80*5%</f>
        <v>225000</v>
      </c>
      <c r="N80" s="5"/>
      <c r="O80" s="5"/>
      <c r="P80" s="17">
        <v>72000</v>
      </c>
      <c r="Q80" s="5"/>
      <c r="R80" s="5"/>
      <c r="S80" s="5"/>
      <c r="T80" s="5">
        <f t="shared" si="83"/>
        <v>477000</v>
      </c>
      <c r="U80" s="7">
        <f t="shared" si="81"/>
        <v>4023000</v>
      </c>
      <c r="V80" s="7"/>
      <c r="W80" s="44"/>
      <c r="X80" s="7">
        <f t="shared" si="67"/>
        <v>4023000</v>
      </c>
    </row>
    <row r="81" spans="1:24" x14ac:dyDescent="0.25">
      <c r="A81" s="90"/>
      <c r="B81" s="6">
        <v>36</v>
      </c>
      <c r="C81" s="11" t="s">
        <v>169</v>
      </c>
      <c r="D81" s="6"/>
      <c r="E81" s="5">
        <v>737717</v>
      </c>
      <c r="F81" s="12">
        <v>30</v>
      </c>
      <c r="G81" s="5">
        <f t="shared" si="61"/>
        <v>737717</v>
      </c>
      <c r="H81" s="5">
        <f t="shared" ref="H81:H82" si="84">+(83140/30)*F81</f>
        <v>83140</v>
      </c>
      <c r="I81" s="5"/>
      <c r="J81" s="5"/>
      <c r="K81" s="5">
        <f t="shared" si="82"/>
        <v>820857</v>
      </c>
      <c r="L81" s="5">
        <f t="shared" ref="L81:L82" si="85">+G81*4%</f>
        <v>29508.68</v>
      </c>
      <c r="M81" s="5">
        <f>+G81*4%</f>
        <v>29508.68</v>
      </c>
      <c r="N81" s="5"/>
      <c r="O81" s="5"/>
      <c r="P81" s="17"/>
      <c r="Q81" s="5"/>
      <c r="R81" s="5"/>
      <c r="S81" s="5"/>
      <c r="T81" s="5">
        <v>59018</v>
      </c>
      <c r="U81" s="7">
        <f t="shared" si="81"/>
        <v>761839</v>
      </c>
      <c r="V81" s="7"/>
      <c r="W81" s="44"/>
      <c r="X81" s="7">
        <f t="shared" si="67"/>
        <v>761839</v>
      </c>
    </row>
    <row r="82" spans="1:24" x14ac:dyDescent="0.25">
      <c r="A82" s="90"/>
      <c r="B82" s="6">
        <v>37</v>
      </c>
      <c r="C82" s="11" t="s">
        <v>170</v>
      </c>
      <c r="D82" s="6"/>
      <c r="E82" s="5">
        <v>737717</v>
      </c>
      <c r="F82" s="12">
        <v>30</v>
      </c>
      <c r="G82" s="5">
        <f t="shared" si="61"/>
        <v>737717</v>
      </c>
      <c r="H82" s="5">
        <f t="shared" si="84"/>
        <v>83140</v>
      </c>
      <c r="I82" s="5"/>
      <c r="J82" s="5"/>
      <c r="K82" s="5">
        <f t="shared" si="82"/>
        <v>820857</v>
      </c>
      <c r="L82" s="5">
        <f t="shared" si="85"/>
        <v>29508.68</v>
      </c>
      <c r="M82" s="5">
        <f>+G82*4%</f>
        <v>29508.68</v>
      </c>
      <c r="N82" s="5"/>
      <c r="O82" s="5"/>
      <c r="P82" s="17"/>
      <c r="Q82" s="5"/>
      <c r="R82" s="5"/>
      <c r="S82" s="5"/>
      <c r="T82" s="5">
        <f>+T81</f>
        <v>59018</v>
      </c>
      <c r="U82" s="7">
        <f t="shared" si="81"/>
        <v>761839</v>
      </c>
      <c r="V82" s="7"/>
      <c r="W82" s="44"/>
      <c r="X82" s="7">
        <f t="shared" si="67"/>
        <v>761839</v>
      </c>
    </row>
    <row r="83" spans="1:24" ht="18" customHeight="1" x14ac:dyDescent="0.25">
      <c r="A83" s="90"/>
      <c r="B83" s="6">
        <v>38</v>
      </c>
      <c r="C83" s="11" t="s">
        <v>171</v>
      </c>
      <c r="D83" s="6"/>
      <c r="E83" s="5">
        <v>2500000</v>
      </c>
      <c r="F83" s="12">
        <v>30</v>
      </c>
      <c r="G83" s="5">
        <f t="shared" si="61"/>
        <v>2500000</v>
      </c>
      <c r="H83" s="5"/>
      <c r="I83" s="5">
        <v>350000</v>
      </c>
      <c r="J83" s="5"/>
      <c r="K83" s="5">
        <f>SUM(G83:I83)+J83</f>
        <v>2850000</v>
      </c>
      <c r="L83" s="5">
        <f>+G83*4%</f>
        <v>100000</v>
      </c>
      <c r="M83" s="5">
        <f>+G83*4%</f>
        <v>100000</v>
      </c>
      <c r="N83" s="5"/>
      <c r="O83" s="5"/>
      <c r="P83" s="17"/>
      <c r="Q83" s="5"/>
      <c r="R83" s="5"/>
      <c r="S83" s="5"/>
      <c r="T83" s="5">
        <f>SUM(L83:S83)</f>
        <v>200000</v>
      </c>
      <c r="U83" s="7">
        <f>+K83-T83</f>
        <v>2650000</v>
      </c>
      <c r="V83" s="7"/>
      <c r="W83" s="44"/>
      <c r="X83" s="7">
        <f t="shared" si="67"/>
        <v>2650000</v>
      </c>
    </row>
    <row r="84" spans="1:24" ht="24" x14ac:dyDescent="0.25">
      <c r="A84" s="90"/>
      <c r="B84" s="6">
        <v>39</v>
      </c>
      <c r="C84" s="11" t="s">
        <v>110</v>
      </c>
      <c r="D84" s="6" t="s">
        <v>27</v>
      </c>
      <c r="E84" s="5">
        <v>1500000</v>
      </c>
      <c r="F84" s="12">
        <v>30</v>
      </c>
      <c r="G84" s="5">
        <f t="shared" si="61"/>
        <v>1500000</v>
      </c>
      <c r="H84" s="5"/>
      <c r="I84" s="5"/>
      <c r="J84" s="5"/>
      <c r="K84" s="5">
        <f t="shared" ref="K84" si="86">SUM(G84:I84)+J84</f>
        <v>1500000</v>
      </c>
      <c r="L84" s="5">
        <f>+G84*4%</f>
        <v>60000</v>
      </c>
      <c r="M84" s="5">
        <f>+G84*4%</f>
        <v>60000</v>
      </c>
      <c r="N84" s="5"/>
      <c r="O84" s="5"/>
      <c r="P84" s="17">
        <v>0</v>
      </c>
      <c r="Q84" s="5"/>
      <c r="R84" s="5"/>
      <c r="S84" s="5"/>
      <c r="T84" s="5">
        <f t="shared" ref="T84" si="87">SUM(L84:S84)</f>
        <v>120000</v>
      </c>
      <c r="U84" s="7">
        <f t="shared" ref="U84:U86" si="88">+K84-T84</f>
        <v>1380000</v>
      </c>
      <c r="V84" s="7"/>
      <c r="W84" s="44"/>
      <c r="X84" s="7">
        <f t="shared" si="67"/>
        <v>1380000</v>
      </c>
    </row>
    <row r="85" spans="1:24" ht="22.5" customHeight="1" x14ac:dyDescent="0.25">
      <c r="A85" s="90"/>
      <c r="B85" s="6">
        <v>40</v>
      </c>
      <c r="C85" s="11" t="s">
        <v>150</v>
      </c>
      <c r="D85" s="6"/>
      <c r="E85" s="5">
        <v>2500000</v>
      </c>
      <c r="F85" s="12">
        <v>30</v>
      </c>
      <c r="G85" s="5">
        <f t="shared" si="61"/>
        <v>2500000</v>
      </c>
      <c r="H85" s="5"/>
      <c r="I85" s="5"/>
      <c r="J85" s="5"/>
      <c r="K85" s="5">
        <f t="shared" ref="K85:K88" si="89">SUM(G85:I85)+J85</f>
        <v>2500000</v>
      </c>
      <c r="L85" s="5">
        <f>+G85*4%</f>
        <v>100000</v>
      </c>
      <c r="M85" s="5">
        <f>+G85*4%</f>
        <v>100000</v>
      </c>
      <c r="N85" s="5"/>
      <c r="O85" s="5"/>
      <c r="P85" s="5">
        <v>0</v>
      </c>
      <c r="Q85" s="5"/>
      <c r="R85" s="5"/>
      <c r="S85" s="5"/>
      <c r="T85" s="5">
        <f>SUM(L85:S85)</f>
        <v>200000</v>
      </c>
      <c r="U85" s="7">
        <f t="shared" si="88"/>
        <v>2300000</v>
      </c>
      <c r="V85" s="7"/>
      <c r="W85" s="44"/>
      <c r="X85" s="7">
        <f t="shared" si="67"/>
        <v>2300000</v>
      </c>
    </row>
    <row r="86" spans="1:24" x14ac:dyDescent="0.25">
      <c r="A86" s="90"/>
      <c r="B86" s="6">
        <v>41</v>
      </c>
      <c r="C86" s="11" t="s">
        <v>112</v>
      </c>
      <c r="D86" s="6" t="s">
        <v>27</v>
      </c>
      <c r="E86" s="5">
        <v>4500000</v>
      </c>
      <c r="F86" s="12">
        <v>30</v>
      </c>
      <c r="G86" s="5">
        <v>3750000</v>
      </c>
      <c r="H86" s="5"/>
      <c r="I86" s="5">
        <v>281250</v>
      </c>
      <c r="J86" s="5">
        <v>750000</v>
      </c>
      <c r="K86" s="5">
        <f t="shared" si="89"/>
        <v>4781250</v>
      </c>
      <c r="L86" s="5">
        <f>+E86*4%</f>
        <v>180000</v>
      </c>
      <c r="M86" s="5">
        <f>+E86*5%</f>
        <v>225000</v>
      </c>
      <c r="N86" s="5"/>
      <c r="O86" s="5"/>
      <c r="P86" s="5">
        <v>72000</v>
      </c>
      <c r="Q86" s="5"/>
      <c r="R86" s="5"/>
      <c r="S86" s="5">
        <v>610699</v>
      </c>
      <c r="T86" s="5">
        <f t="shared" ref="T86" si="90">SUM(L86:S86)</f>
        <v>1087699</v>
      </c>
      <c r="U86" s="7">
        <f t="shared" si="88"/>
        <v>3693551</v>
      </c>
      <c r="V86" s="7"/>
      <c r="W86" s="44"/>
      <c r="X86" s="7">
        <f t="shared" si="67"/>
        <v>3693551</v>
      </c>
    </row>
    <row r="87" spans="1:24" ht="21.75" customHeight="1" x14ac:dyDescent="0.25">
      <c r="A87" s="90"/>
      <c r="B87" s="6">
        <v>42</v>
      </c>
      <c r="C87" s="11" t="s">
        <v>185</v>
      </c>
      <c r="D87" s="6"/>
      <c r="E87" s="5">
        <v>5400000</v>
      </c>
      <c r="F87" s="12">
        <v>30</v>
      </c>
      <c r="G87" s="5">
        <f>+E87/30*F87</f>
        <v>5400000</v>
      </c>
      <c r="H87" s="5"/>
      <c r="I87" s="5"/>
      <c r="J87" s="5"/>
      <c r="K87" s="5">
        <f>SUM(G87:I87)+J87</f>
        <v>5400000</v>
      </c>
      <c r="L87" s="5">
        <f>+G87*4%</f>
        <v>216000</v>
      </c>
      <c r="M87" s="5">
        <f>+G87*5%</f>
        <v>270000</v>
      </c>
      <c r="N87" s="5"/>
      <c r="O87" s="5"/>
      <c r="P87" s="5">
        <v>125000</v>
      </c>
      <c r="Q87" s="5"/>
      <c r="R87" s="5"/>
      <c r="S87" s="5"/>
      <c r="T87" s="5">
        <f>SUM(L87:S87)</f>
        <v>611000</v>
      </c>
      <c r="U87" s="7">
        <f>+K87-T87</f>
        <v>4789000</v>
      </c>
      <c r="V87" s="7"/>
      <c r="W87" s="44"/>
      <c r="X87" s="7">
        <f t="shared" si="67"/>
        <v>4789000</v>
      </c>
    </row>
    <row r="88" spans="1:24" x14ac:dyDescent="0.25">
      <c r="A88" s="90"/>
      <c r="B88" s="6">
        <v>43</v>
      </c>
      <c r="C88" s="11" t="s">
        <v>113</v>
      </c>
      <c r="D88" s="6" t="s">
        <v>27</v>
      </c>
      <c r="E88" s="5">
        <v>4500000</v>
      </c>
      <c r="F88" s="12">
        <v>30</v>
      </c>
      <c r="G88" s="5">
        <f>+E88-J88</f>
        <v>4500000</v>
      </c>
      <c r="H88" s="5"/>
      <c r="I88" s="5"/>
      <c r="J88" s="5"/>
      <c r="K88" s="5">
        <f t="shared" si="89"/>
        <v>4500000</v>
      </c>
      <c r="L88" s="5">
        <f>+K88*4%</f>
        <v>180000</v>
      </c>
      <c r="M88" s="5">
        <f>+K88*5%</f>
        <v>225000</v>
      </c>
      <c r="N88" s="5">
        <v>0</v>
      </c>
      <c r="O88" s="5"/>
      <c r="P88" s="5">
        <v>8500</v>
      </c>
      <c r="Q88" s="5"/>
      <c r="R88" s="5"/>
      <c r="S88" s="5"/>
      <c r="T88" s="5">
        <f>SUM(L88:S88)</f>
        <v>413500</v>
      </c>
      <c r="U88" s="7">
        <f t="shared" ref="U88:U91" si="91">K88-T88</f>
        <v>4086500</v>
      </c>
      <c r="V88" s="7"/>
      <c r="W88" s="44"/>
      <c r="X88" s="7">
        <f t="shared" si="67"/>
        <v>4086500</v>
      </c>
    </row>
    <row r="89" spans="1:24" x14ac:dyDescent="0.25">
      <c r="A89" s="90"/>
      <c r="B89" s="6">
        <v>44</v>
      </c>
      <c r="C89" s="11" t="s">
        <v>114</v>
      </c>
      <c r="D89" s="6" t="s">
        <v>27</v>
      </c>
      <c r="E89" s="5">
        <v>3500000</v>
      </c>
      <c r="F89" s="12">
        <v>30</v>
      </c>
      <c r="G89" s="5">
        <f t="shared" si="61"/>
        <v>3500000</v>
      </c>
      <c r="H89" s="5"/>
      <c r="I89" s="5"/>
      <c r="J89" s="5"/>
      <c r="K89" s="5">
        <f t="shared" ref="K89:K109" si="92">SUM(G89:I89)+J89</f>
        <v>3500000</v>
      </c>
      <c r="L89" s="5">
        <f>+G89*4%</f>
        <v>140000</v>
      </c>
      <c r="M89" s="5">
        <f>+G89*5%</f>
        <v>175000</v>
      </c>
      <c r="N89" s="5">
        <v>0</v>
      </c>
      <c r="O89" s="5"/>
      <c r="P89" s="5">
        <v>0</v>
      </c>
      <c r="Q89" s="5"/>
      <c r="R89" s="5"/>
      <c r="S89" s="5"/>
      <c r="T89" s="5">
        <f t="shared" si="49"/>
        <v>315000</v>
      </c>
      <c r="U89" s="7">
        <f t="shared" si="91"/>
        <v>3185000</v>
      </c>
      <c r="V89" s="7"/>
      <c r="W89" s="44"/>
      <c r="X89" s="7">
        <f t="shared" si="67"/>
        <v>3185000</v>
      </c>
    </row>
    <row r="90" spans="1:24" ht="24" x14ac:dyDescent="0.25">
      <c r="A90" s="90"/>
      <c r="B90" s="6">
        <v>45</v>
      </c>
      <c r="C90" s="11" t="s">
        <v>116</v>
      </c>
      <c r="D90" s="6" t="s">
        <v>27</v>
      </c>
      <c r="E90" s="5">
        <v>1500000</v>
      </c>
      <c r="F90" s="12">
        <v>30</v>
      </c>
      <c r="G90" s="5">
        <f t="shared" si="61"/>
        <v>1500000</v>
      </c>
      <c r="H90" s="5"/>
      <c r="I90" s="5"/>
      <c r="J90" s="5"/>
      <c r="K90" s="5">
        <f t="shared" ref="K90" si="93">SUM(G90:I90)+J90</f>
        <v>1500000</v>
      </c>
      <c r="L90" s="5">
        <f>+G90*4%</f>
        <v>60000</v>
      </c>
      <c r="M90" s="5">
        <f>+G90*4%</f>
        <v>60000</v>
      </c>
      <c r="N90" s="5"/>
      <c r="O90" s="5"/>
      <c r="P90" s="5"/>
      <c r="Q90" s="5"/>
      <c r="R90" s="5"/>
      <c r="S90" s="5"/>
      <c r="T90" s="5">
        <f t="shared" ref="T90" si="94">SUM(L90:S90)</f>
        <v>120000</v>
      </c>
      <c r="U90" s="7">
        <f t="shared" si="91"/>
        <v>1380000</v>
      </c>
      <c r="V90" s="7"/>
      <c r="W90" s="44"/>
      <c r="X90" s="7">
        <f t="shared" si="67"/>
        <v>1380000</v>
      </c>
    </row>
    <row r="91" spans="1:24" ht="23.25" customHeight="1" x14ac:dyDescent="0.25">
      <c r="A91" s="90"/>
      <c r="B91" s="6">
        <v>46</v>
      </c>
      <c r="C91" s="3" t="s">
        <v>117</v>
      </c>
      <c r="D91" s="4" t="s">
        <v>27</v>
      </c>
      <c r="E91" s="5">
        <v>737717</v>
      </c>
      <c r="F91" s="12">
        <v>30</v>
      </c>
      <c r="G91" s="5">
        <f t="shared" si="61"/>
        <v>737717</v>
      </c>
      <c r="H91" s="5">
        <v>83140</v>
      </c>
      <c r="I91" s="5">
        <v>55716</v>
      </c>
      <c r="J91" s="5"/>
      <c r="K91" s="5">
        <f t="shared" si="92"/>
        <v>876573</v>
      </c>
      <c r="L91" s="5">
        <v>29509</v>
      </c>
      <c r="M91" s="5">
        <v>29509</v>
      </c>
      <c r="N91" s="5">
        <v>106667</v>
      </c>
      <c r="O91" s="5"/>
      <c r="P91" s="5">
        <v>0</v>
      </c>
      <c r="Q91" s="5"/>
      <c r="R91" s="5"/>
      <c r="S91" s="5"/>
      <c r="T91" s="5">
        <f t="shared" si="49"/>
        <v>165685</v>
      </c>
      <c r="U91" s="7">
        <f t="shared" si="91"/>
        <v>710888</v>
      </c>
      <c r="V91" s="7"/>
      <c r="W91" s="44"/>
      <c r="X91" s="7">
        <f>U91+V91-W91</f>
        <v>710888</v>
      </c>
    </row>
    <row r="92" spans="1:24" ht="22.5" customHeight="1" x14ac:dyDescent="0.25">
      <c r="A92" s="90"/>
      <c r="B92" s="6">
        <v>47</v>
      </c>
      <c r="C92" s="3" t="s">
        <v>177</v>
      </c>
      <c r="D92" s="4"/>
      <c r="E92" s="5">
        <v>737717</v>
      </c>
      <c r="F92" s="12">
        <v>30</v>
      </c>
      <c r="G92" s="5">
        <f t="shared" si="61"/>
        <v>737717</v>
      </c>
      <c r="H92" s="5">
        <f t="shared" ref="H92" si="95">+(83140/30)*F92</f>
        <v>83140</v>
      </c>
      <c r="I92" s="5">
        <v>9477</v>
      </c>
      <c r="J92" s="5"/>
      <c r="K92" s="5">
        <f>SUM(G92:I92)+J92</f>
        <v>830334</v>
      </c>
      <c r="L92" s="5">
        <f>+G92*4%</f>
        <v>29508.68</v>
      </c>
      <c r="M92" s="5">
        <f>+G92*4%</f>
        <v>29508.68</v>
      </c>
      <c r="N92" s="5"/>
      <c r="O92" s="5"/>
      <c r="P92" s="5"/>
      <c r="Q92" s="5"/>
      <c r="R92" s="5"/>
      <c r="S92" s="5"/>
      <c r="T92" s="5">
        <f t="shared" si="49"/>
        <v>59017.36</v>
      </c>
      <c r="U92" s="7">
        <f>K92-T92</f>
        <v>771316.64</v>
      </c>
      <c r="V92" s="7"/>
      <c r="W92" s="44"/>
      <c r="X92" s="7">
        <f>U92+V92-W92</f>
        <v>771316.64</v>
      </c>
    </row>
    <row r="93" spans="1:24" ht="22.5" customHeight="1" x14ac:dyDescent="0.25">
      <c r="A93" s="90"/>
      <c r="B93" s="6">
        <v>48</v>
      </c>
      <c r="C93" s="3" t="s">
        <v>190</v>
      </c>
      <c r="D93" s="4"/>
      <c r="E93" s="5">
        <v>400000</v>
      </c>
      <c r="F93" s="12">
        <v>29</v>
      </c>
      <c r="G93" s="5">
        <f>+E93/30*F93</f>
        <v>386666.66666666669</v>
      </c>
      <c r="H93" s="5"/>
      <c r="I93" s="5"/>
      <c r="J93" s="5"/>
      <c r="K93" s="5">
        <f>SUM(G93:I93)+J93</f>
        <v>386666.66666666669</v>
      </c>
      <c r="L93" s="5">
        <f>+G93*4%</f>
        <v>15466.666666666668</v>
      </c>
      <c r="M93" s="5">
        <f>+G93*4%</f>
        <v>15466.666666666668</v>
      </c>
      <c r="N93" s="5"/>
      <c r="O93" s="5"/>
      <c r="P93" s="5"/>
      <c r="Q93" s="5"/>
      <c r="R93" s="5"/>
      <c r="S93" s="5"/>
      <c r="T93" s="5">
        <f t="shared" si="49"/>
        <v>30933.333333333336</v>
      </c>
      <c r="U93" s="7">
        <f>K93-T93</f>
        <v>355733.33333333337</v>
      </c>
      <c r="V93" s="7"/>
      <c r="W93" s="44"/>
      <c r="X93" s="7">
        <f>U93+V93-W93</f>
        <v>355733.33333333337</v>
      </c>
    </row>
    <row r="94" spans="1:24" x14ac:dyDescent="0.25">
      <c r="A94" s="90"/>
      <c r="B94" s="6">
        <v>49</v>
      </c>
      <c r="C94" s="11" t="s">
        <v>120</v>
      </c>
      <c r="D94" s="6" t="s">
        <v>27</v>
      </c>
      <c r="E94" s="5">
        <v>15400000</v>
      </c>
      <c r="F94" s="12">
        <v>30</v>
      </c>
      <c r="G94" s="5">
        <f t="shared" si="61"/>
        <v>15400000</v>
      </c>
      <c r="H94" s="5"/>
      <c r="I94" s="5">
        <v>600000</v>
      </c>
      <c r="J94" s="5"/>
      <c r="K94" s="5">
        <f t="shared" si="92"/>
        <v>16000000</v>
      </c>
      <c r="L94" s="5">
        <v>616000</v>
      </c>
      <c r="M94" s="5">
        <f>616000+308000</f>
        <v>924000</v>
      </c>
      <c r="N94" s="5">
        <v>102400</v>
      </c>
      <c r="O94" s="5"/>
      <c r="P94" s="5">
        <v>916000</v>
      </c>
      <c r="Q94" s="5">
        <v>5000000</v>
      </c>
      <c r="R94" s="5"/>
      <c r="S94" s="5">
        <v>2314715</v>
      </c>
      <c r="T94" s="5">
        <f t="shared" si="49"/>
        <v>9873115</v>
      </c>
      <c r="U94" s="7">
        <f>+K94-T94</f>
        <v>6126885</v>
      </c>
      <c r="V94" s="7"/>
      <c r="W94" s="44"/>
      <c r="X94" s="7">
        <f t="shared" si="67"/>
        <v>6126885</v>
      </c>
    </row>
    <row r="95" spans="1:24" x14ac:dyDescent="0.25">
      <c r="A95" s="90"/>
      <c r="B95" s="6">
        <v>50</v>
      </c>
      <c r="C95" s="11" t="s">
        <v>121</v>
      </c>
      <c r="D95" s="6" t="s">
        <v>27</v>
      </c>
      <c r="E95" s="5">
        <v>4500000</v>
      </c>
      <c r="F95" s="12">
        <v>30</v>
      </c>
      <c r="G95" s="5">
        <f>+E95-J95</f>
        <v>4500000</v>
      </c>
      <c r="H95" s="5"/>
      <c r="I95" s="5">
        <v>0</v>
      </c>
      <c r="J95" s="5">
        <v>0</v>
      </c>
      <c r="K95" s="5">
        <f t="shared" si="92"/>
        <v>4500000</v>
      </c>
      <c r="L95" s="5">
        <v>180000</v>
      </c>
      <c r="M95" s="5">
        <v>225000</v>
      </c>
      <c r="N95" s="5"/>
      <c r="O95" s="5"/>
      <c r="P95" s="5">
        <v>72000</v>
      </c>
      <c r="Q95" s="5"/>
      <c r="R95" s="5"/>
      <c r="S95" s="5">
        <v>1138458</v>
      </c>
      <c r="T95" s="5">
        <f t="shared" si="49"/>
        <v>1615458</v>
      </c>
      <c r="U95" s="7">
        <f>+K95-T95</f>
        <v>2884542</v>
      </c>
      <c r="V95" s="7"/>
      <c r="W95" s="44"/>
      <c r="X95" s="7">
        <f t="shared" si="67"/>
        <v>2884542</v>
      </c>
    </row>
    <row r="96" spans="1:24" ht="24" x14ac:dyDescent="0.25">
      <c r="A96" s="90"/>
      <c r="B96" s="6">
        <v>51</v>
      </c>
      <c r="C96" s="11" t="s">
        <v>159</v>
      </c>
      <c r="D96" s="6"/>
      <c r="E96" s="5">
        <v>1600000</v>
      </c>
      <c r="F96" s="12">
        <v>30</v>
      </c>
      <c r="G96" s="5">
        <f t="shared" si="61"/>
        <v>1600000</v>
      </c>
      <c r="H96" s="5"/>
      <c r="I96" s="5"/>
      <c r="J96" s="5"/>
      <c r="K96" s="5">
        <f t="shared" ref="K96" si="96">SUM(G96:I96)+J96</f>
        <v>1600000</v>
      </c>
      <c r="L96" s="5">
        <f t="shared" ref="L96" si="97">+G96*4%</f>
        <v>64000</v>
      </c>
      <c r="M96" s="5">
        <f>+G96*4%</f>
        <v>64000</v>
      </c>
      <c r="N96" s="5"/>
      <c r="O96" s="5"/>
      <c r="P96" s="5"/>
      <c r="Q96" s="5"/>
      <c r="R96" s="5"/>
      <c r="S96" s="5"/>
      <c r="T96" s="5">
        <f t="shared" ref="T96" si="98">SUM(L96:S96)</f>
        <v>128000</v>
      </c>
      <c r="U96" s="7">
        <f>+K96-T96</f>
        <v>1472000</v>
      </c>
      <c r="V96" s="7"/>
      <c r="W96" s="44"/>
      <c r="X96" s="7">
        <f t="shared" si="67"/>
        <v>1472000</v>
      </c>
    </row>
    <row r="97" spans="1:24" x14ac:dyDescent="0.25">
      <c r="A97" s="90"/>
      <c r="B97" s="6">
        <v>52</v>
      </c>
      <c r="C97" s="11" t="s">
        <v>122</v>
      </c>
      <c r="D97" s="6" t="s">
        <v>27</v>
      </c>
      <c r="E97" s="5">
        <v>2500000</v>
      </c>
      <c r="F97" s="12">
        <v>30</v>
      </c>
      <c r="G97" s="5">
        <f>+E97-J97</f>
        <v>2500000</v>
      </c>
      <c r="H97" s="5"/>
      <c r="I97" s="5"/>
      <c r="J97" s="5">
        <v>0</v>
      </c>
      <c r="K97" s="5">
        <f t="shared" si="92"/>
        <v>2500000</v>
      </c>
      <c r="L97" s="5">
        <v>100000</v>
      </c>
      <c r="M97" s="5">
        <v>100000</v>
      </c>
      <c r="N97" s="5"/>
      <c r="O97" s="5"/>
      <c r="P97" s="5">
        <v>0</v>
      </c>
      <c r="Q97" s="5"/>
      <c r="R97" s="5"/>
      <c r="S97" s="5"/>
      <c r="T97" s="5">
        <f t="shared" si="49"/>
        <v>200000</v>
      </c>
      <c r="U97" s="7">
        <f>+K97-T97</f>
        <v>2300000</v>
      </c>
      <c r="V97" s="7"/>
      <c r="W97" s="44"/>
      <c r="X97" s="7">
        <f t="shared" si="67"/>
        <v>2300000</v>
      </c>
    </row>
    <row r="98" spans="1:24" x14ac:dyDescent="0.25">
      <c r="A98" s="90"/>
      <c r="B98" s="6">
        <v>53</v>
      </c>
      <c r="C98" s="3" t="s">
        <v>123</v>
      </c>
      <c r="D98" s="4" t="s">
        <v>27</v>
      </c>
      <c r="E98" s="5">
        <v>3000000</v>
      </c>
      <c r="F98" s="12">
        <v>30</v>
      </c>
      <c r="G98" s="5">
        <f>+E98-J98</f>
        <v>3000000</v>
      </c>
      <c r="H98" s="5"/>
      <c r="I98" s="5">
        <v>270000</v>
      </c>
      <c r="J98" s="5"/>
      <c r="K98" s="5">
        <f t="shared" si="92"/>
        <v>3270000</v>
      </c>
      <c r="L98" s="5">
        <v>120000</v>
      </c>
      <c r="M98" s="5">
        <v>150000</v>
      </c>
      <c r="N98" s="5"/>
      <c r="O98" s="5"/>
      <c r="P98" s="5">
        <v>0</v>
      </c>
      <c r="Q98" s="5"/>
      <c r="R98" s="5"/>
      <c r="S98" s="5">
        <v>514771</v>
      </c>
      <c r="T98" s="5">
        <f>SUM(L98:S98)</f>
        <v>784771</v>
      </c>
      <c r="U98" s="7">
        <f>K98-T98</f>
        <v>2485229</v>
      </c>
      <c r="V98" s="7"/>
      <c r="W98" s="44"/>
      <c r="X98" s="7">
        <f t="shared" si="67"/>
        <v>2485229</v>
      </c>
    </row>
    <row r="99" spans="1:24" x14ac:dyDescent="0.25">
      <c r="A99" s="90"/>
      <c r="B99" s="6">
        <v>54</v>
      </c>
      <c r="C99" s="3" t="s">
        <v>124</v>
      </c>
      <c r="D99" s="4" t="s">
        <v>27</v>
      </c>
      <c r="E99" s="5">
        <v>1600000</v>
      </c>
      <c r="F99" s="12">
        <v>30</v>
      </c>
      <c r="G99" s="5">
        <f t="shared" si="61"/>
        <v>1600000</v>
      </c>
      <c r="H99" s="5"/>
      <c r="I99" s="5">
        <v>200000</v>
      </c>
      <c r="J99" s="5"/>
      <c r="K99" s="5">
        <f>SUM(G99:I99)+J99</f>
        <v>1800000</v>
      </c>
      <c r="L99" s="5">
        <f>+G99*4%</f>
        <v>64000</v>
      </c>
      <c r="M99" s="5">
        <f>+G99*4%</f>
        <v>64000</v>
      </c>
      <c r="N99" s="5"/>
      <c r="O99" s="5"/>
      <c r="P99" s="5"/>
      <c r="Q99" s="5"/>
      <c r="R99" s="5"/>
      <c r="S99" s="5"/>
      <c r="T99" s="5">
        <f>SUM(L99:S99)</f>
        <v>128000</v>
      </c>
      <c r="U99" s="7">
        <f>K99-T99</f>
        <v>1672000</v>
      </c>
      <c r="V99" s="7"/>
      <c r="W99" s="44"/>
      <c r="X99" s="7">
        <f t="shared" si="67"/>
        <v>1672000</v>
      </c>
    </row>
    <row r="100" spans="1:24" ht="23.25" customHeight="1" x14ac:dyDescent="0.25">
      <c r="A100" s="90"/>
      <c r="B100" s="6">
        <v>55</v>
      </c>
      <c r="C100" s="11" t="s">
        <v>128</v>
      </c>
      <c r="D100" s="6" t="s">
        <v>27</v>
      </c>
      <c r="E100" s="5">
        <v>3750000</v>
      </c>
      <c r="F100" s="12">
        <v>30</v>
      </c>
      <c r="G100" s="5">
        <f t="shared" si="61"/>
        <v>3750000</v>
      </c>
      <c r="H100" s="5"/>
      <c r="I100" s="5"/>
      <c r="J100" s="5"/>
      <c r="K100" s="5">
        <f t="shared" si="92"/>
        <v>3750000</v>
      </c>
      <c r="L100" s="5">
        <f>+E100*4%</f>
        <v>150000</v>
      </c>
      <c r="M100" s="5">
        <f>+E100*5%</f>
        <v>187500</v>
      </c>
      <c r="N100" s="5"/>
      <c r="O100" s="5"/>
      <c r="P100" s="5"/>
      <c r="Q100" s="5"/>
      <c r="R100" s="5"/>
      <c r="S100" s="5"/>
      <c r="T100" s="5">
        <f t="shared" si="49"/>
        <v>337500</v>
      </c>
      <c r="U100" s="7">
        <f>+K100-T100</f>
        <v>3412500</v>
      </c>
      <c r="V100" s="7"/>
      <c r="W100" s="44"/>
      <c r="X100" s="7">
        <f t="shared" si="67"/>
        <v>3412500</v>
      </c>
    </row>
    <row r="101" spans="1:24" ht="24" x14ac:dyDescent="0.25">
      <c r="A101" s="90"/>
      <c r="B101" s="6">
        <v>56</v>
      </c>
      <c r="C101" s="11" t="s">
        <v>129</v>
      </c>
      <c r="D101" s="6" t="s">
        <v>27</v>
      </c>
      <c r="E101" s="5">
        <v>3700000</v>
      </c>
      <c r="F101" s="12">
        <v>30</v>
      </c>
      <c r="G101" s="5">
        <f t="shared" si="61"/>
        <v>3700000</v>
      </c>
      <c r="H101" s="5"/>
      <c r="I101" s="5">
        <v>650000</v>
      </c>
      <c r="J101" s="5"/>
      <c r="K101" s="5">
        <f t="shared" si="92"/>
        <v>4350000</v>
      </c>
      <c r="L101" s="5">
        <f t="shared" ref="L101" si="99">+G101*4%</f>
        <v>148000</v>
      </c>
      <c r="M101" s="5">
        <f>+G101*5%</f>
        <v>185000</v>
      </c>
      <c r="N101" s="5"/>
      <c r="O101" s="5"/>
      <c r="P101" s="5"/>
      <c r="Q101" s="5"/>
      <c r="R101" s="5"/>
      <c r="S101" s="5"/>
      <c r="T101" s="5">
        <f t="shared" ref="T101:T102" si="100">SUM(L101:S101)</f>
        <v>333000</v>
      </c>
      <c r="U101" s="7">
        <f>+K101-T101</f>
        <v>4017000</v>
      </c>
      <c r="V101" s="7"/>
      <c r="W101" s="44"/>
      <c r="X101" s="7">
        <f t="shared" si="67"/>
        <v>4017000</v>
      </c>
    </row>
    <row r="102" spans="1:24" ht="22.5" customHeight="1" x14ac:dyDescent="0.25">
      <c r="A102" s="90"/>
      <c r="B102" s="6">
        <v>57</v>
      </c>
      <c r="C102" s="11" t="s">
        <v>68</v>
      </c>
      <c r="D102" s="6" t="s">
        <v>27</v>
      </c>
      <c r="E102" s="5">
        <v>3500000</v>
      </c>
      <c r="F102" s="12">
        <v>30</v>
      </c>
      <c r="G102" s="5">
        <f>+E102-J102</f>
        <v>3500000</v>
      </c>
      <c r="H102" s="5"/>
      <c r="I102" s="5" t="s">
        <v>1</v>
      </c>
      <c r="J102" s="5"/>
      <c r="K102" s="5">
        <f t="shared" si="92"/>
        <v>3500000</v>
      </c>
      <c r="L102" s="5">
        <f>+K102*4%</f>
        <v>140000</v>
      </c>
      <c r="M102" s="5">
        <f>+K102*5%</f>
        <v>175000</v>
      </c>
      <c r="N102" s="5"/>
      <c r="O102" s="5"/>
      <c r="P102" s="5"/>
      <c r="Q102" s="5"/>
      <c r="R102" s="5"/>
      <c r="S102" s="5"/>
      <c r="T102" s="5">
        <f t="shared" si="100"/>
        <v>315000</v>
      </c>
      <c r="U102" s="7">
        <f t="shared" ref="U102" si="101">+K102-T102</f>
        <v>3185000</v>
      </c>
      <c r="V102" s="7"/>
      <c r="W102" s="44"/>
      <c r="X102" s="7">
        <f t="shared" si="67"/>
        <v>3185000</v>
      </c>
    </row>
    <row r="103" spans="1:24" x14ac:dyDescent="0.25">
      <c r="A103" s="90"/>
      <c r="B103" s="6">
        <v>58</v>
      </c>
      <c r="C103" s="11" t="s">
        <v>130</v>
      </c>
      <c r="D103" s="6" t="s">
        <v>35</v>
      </c>
      <c r="E103" s="5">
        <v>2000000</v>
      </c>
      <c r="F103" s="12">
        <v>30</v>
      </c>
      <c r="G103" s="5">
        <f t="shared" si="61"/>
        <v>2000000.0000000002</v>
      </c>
      <c r="H103" s="5"/>
      <c r="I103" s="5"/>
      <c r="J103" s="5"/>
      <c r="K103" s="5">
        <f t="shared" si="92"/>
        <v>2000000.0000000002</v>
      </c>
      <c r="L103" s="5">
        <f>+E103*4%</f>
        <v>80000</v>
      </c>
      <c r="M103" s="5">
        <f>+E103*4%</f>
        <v>80000</v>
      </c>
      <c r="N103" s="5"/>
      <c r="O103" s="5"/>
      <c r="P103" s="17"/>
      <c r="Q103" s="5"/>
      <c r="R103" s="5"/>
      <c r="S103" s="5"/>
      <c r="T103" s="5">
        <f t="shared" si="49"/>
        <v>160000</v>
      </c>
      <c r="U103" s="7">
        <f>+K103-T103</f>
        <v>1840000.0000000002</v>
      </c>
      <c r="V103" s="7"/>
      <c r="W103" s="44"/>
      <c r="X103" s="7">
        <f t="shared" si="67"/>
        <v>1840000.0000000002</v>
      </c>
    </row>
    <row r="104" spans="1:24" x14ac:dyDescent="0.25">
      <c r="A104" s="90"/>
      <c r="B104" s="6">
        <v>59</v>
      </c>
      <c r="C104" s="11" t="s">
        <v>173</v>
      </c>
      <c r="D104" s="6"/>
      <c r="E104" s="5">
        <v>1500000</v>
      </c>
      <c r="F104" s="12">
        <v>30</v>
      </c>
      <c r="G104" s="5">
        <f t="shared" si="61"/>
        <v>1500000</v>
      </c>
      <c r="H104" s="5"/>
      <c r="I104" s="5"/>
      <c r="J104" s="5"/>
      <c r="K104" s="5">
        <f t="shared" ref="K104" si="102">SUM(G104:I104)+J104</f>
        <v>1500000</v>
      </c>
      <c r="L104" s="5">
        <f>+G104*4%</f>
        <v>60000</v>
      </c>
      <c r="M104" s="5">
        <f>+G104*4%</f>
        <v>60000</v>
      </c>
      <c r="N104" s="5">
        <v>0</v>
      </c>
      <c r="O104" s="5"/>
      <c r="P104" s="17"/>
      <c r="Q104" s="5"/>
      <c r="R104" s="5"/>
      <c r="S104" s="5"/>
      <c r="T104" s="5">
        <f t="shared" ref="T104" si="103">SUM(L104:S104)</f>
        <v>120000</v>
      </c>
      <c r="U104" s="7">
        <f>+K104-T104</f>
        <v>1380000</v>
      </c>
      <c r="V104" s="7"/>
      <c r="W104" s="44"/>
      <c r="X104" s="7">
        <f t="shared" si="67"/>
        <v>1380000</v>
      </c>
    </row>
    <row r="105" spans="1:24" x14ac:dyDescent="0.25">
      <c r="A105" s="90"/>
      <c r="B105" s="6">
        <v>60</v>
      </c>
      <c r="C105" s="3" t="s">
        <v>131</v>
      </c>
      <c r="D105" s="4" t="s">
        <v>27</v>
      </c>
      <c r="E105" s="5">
        <v>1600000</v>
      </c>
      <c r="F105" s="12">
        <v>30</v>
      </c>
      <c r="G105" s="5">
        <f t="shared" si="61"/>
        <v>1600000</v>
      </c>
      <c r="H105" s="5"/>
      <c r="I105" s="5"/>
      <c r="J105" s="5"/>
      <c r="K105" s="5">
        <f t="shared" si="92"/>
        <v>1600000</v>
      </c>
      <c r="L105" s="5">
        <f>+K105*4%</f>
        <v>64000</v>
      </c>
      <c r="M105" s="5">
        <v>64000</v>
      </c>
      <c r="N105" s="5"/>
      <c r="O105" s="5"/>
      <c r="P105" s="5">
        <v>0</v>
      </c>
      <c r="Q105" s="5"/>
      <c r="R105" s="5"/>
      <c r="S105" s="5">
        <v>249127</v>
      </c>
      <c r="T105" s="5">
        <f t="shared" si="49"/>
        <v>377127</v>
      </c>
      <c r="U105" s="7">
        <f>K105-T105</f>
        <v>1222873</v>
      </c>
      <c r="V105" s="7"/>
      <c r="W105" s="44"/>
      <c r="X105" s="7">
        <f t="shared" si="67"/>
        <v>1222873</v>
      </c>
    </row>
    <row r="106" spans="1:24" ht="23.25" customHeight="1" x14ac:dyDescent="0.25">
      <c r="A106" s="90"/>
      <c r="B106" s="6">
        <v>61</v>
      </c>
      <c r="C106" s="11" t="s">
        <v>132</v>
      </c>
      <c r="D106" s="6" t="s">
        <v>27</v>
      </c>
      <c r="E106" s="5">
        <v>1500000</v>
      </c>
      <c r="F106" s="12">
        <v>30</v>
      </c>
      <c r="G106" s="5">
        <f t="shared" si="61"/>
        <v>1500000</v>
      </c>
      <c r="H106" s="5">
        <v>0</v>
      </c>
      <c r="I106" s="5"/>
      <c r="J106" s="5"/>
      <c r="K106" s="5">
        <f t="shared" si="92"/>
        <v>1500000</v>
      </c>
      <c r="L106" s="5">
        <f>+G106*4%</f>
        <v>60000</v>
      </c>
      <c r="M106" s="5">
        <f>+G106*4%</f>
        <v>60000</v>
      </c>
      <c r="N106" s="5"/>
      <c r="O106" s="5"/>
      <c r="P106" s="5">
        <v>0</v>
      </c>
      <c r="Q106" s="5"/>
      <c r="R106" s="5"/>
      <c r="S106" s="5"/>
      <c r="T106" s="5">
        <f t="shared" si="49"/>
        <v>120000</v>
      </c>
      <c r="U106" s="7">
        <f t="shared" ref="U106:U110" si="104">+K106-T106</f>
        <v>1380000</v>
      </c>
      <c r="V106" s="7"/>
      <c r="W106" s="44"/>
      <c r="X106" s="7">
        <f t="shared" si="67"/>
        <v>1380000</v>
      </c>
    </row>
    <row r="107" spans="1:24" ht="24" x14ac:dyDescent="0.25">
      <c r="A107" s="90"/>
      <c r="B107" s="6">
        <v>62</v>
      </c>
      <c r="C107" s="11" t="s">
        <v>134</v>
      </c>
      <c r="D107" s="6" t="s">
        <v>27</v>
      </c>
      <c r="E107" s="5">
        <v>1800000</v>
      </c>
      <c r="F107" s="12">
        <v>30</v>
      </c>
      <c r="G107" s="5">
        <v>1500000</v>
      </c>
      <c r="H107" s="5"/>
      <c r="I107" s="5"/>
      <c r="J107" s="21">
        <v>300000</v>
      </c>
      <c r="K107" s="5">
        <f t="shared" ref="K107:K108" si="105">SUM(G107:I107)+J107</f>
        <v>1800000</v>
      </c>
      <c r="L107" s="5">
        <f>+E107*4%</f>
        <v>72000</v>
      </c>
      <c r="M107" s="5">
        <f>+E107*4%</f>
        <v>72000</v>
      </c>
      <c r="N107" s="5"/>
      <c r="O107" s="5"/>
      <c r="P107" s="5">
        <v>0</v>
      </c>
      <c r="Q107" s="5"/>
      <c r="R107" s="5"/>
      <c r="S107" s="5"/>
      <c r="T107" s="5">
        <f t="shared" ref="T107:T108" si="106">SUM(L107:S107)</f>
        <v>144000</v>
      </c>
      <c r="U107" s="7">
        <f t="shared" si="104"/>
        <v>1656000</v>
      </c>
      <c r="V107" s="7"/>
      <c r="W107" s="44"/>
      <c r="X107" s="7">
        <f t="shared" si="67"/>
        <v>1656000</v>
      </c>
    </row>
    <row r="108" spans="1:24" ht="18.75" customHeight="1" x14ac:dyDescent="0.25">
      <c r="A108" s="90"/>
      <c r="B108" s="6">
        <v>63</v>
      </c>
      <c r="C108" s="11" t="s">
        <v>179</v>
      </c>
      <c r="D108" s="6"/>
      <c r="E108" s="5">
        <v>737717</v>
      </c>
      <c r="F108" s="12">
        <v>30</v>
      </c>
      <c r="G108" s="5">
        <f t="shared" si="61"/>
        <v>737717</v>
      </c>
      <c r="H108" s="5"/>
      <c r="I108" s="5"/>
      <c r="J108" s="21"/>
      <c r="K108" s="5">
        <f t="shared" si="105"/>
        <v>737717</v>
      </c>
      <c r="L108" s="5"/>
      <c r="M108" s="5"/>
      <c r="N108" s="5"/>
      <c r="O108" s="5"/>
      <c r="P108" s="5"/>
      <c r="Q108" s="5"/>
      <c r="R108" s="5"/>
      <c r="S108" s="5"/>
      <c r="T108" s="5">
        <f t="shared" si="106"/>
        <v>0</v>
      </c>
      <c r="U108" s="7">
        <f t="shared" si="104"/>
        <v>737717</v>
      </c>
      <c r="V108" s="7"/>
      <c r="W108" s="44"/>
      <c r="X108" s="7">
        <f t="shared" si="67"/>
        <v>737717</v>
      </c>
    </row>
    <row r="109" spans="1:24" ht="18.75" customHeight="1" x14ac:dyDescent="0.25">
      <c r="A109" s="90"/>
      <c r="B109" s="6">
        <v>64</v>
      </c>
      <c r="C109" s="11" t="s">
        <v>135</v>
      </c>
      <c r="D109" s="6" t="s">
        <v>27</v>
      </c>
      <c r="E109" s="5">
        <v>2000000</v>
      </c>
      <c r="F109" s="12">
        <v>30</v>
      </c>
      <c r="G109" s="5">
        <f t="shared" si="61"/>
        <v>2000000.0000000002</v>
      </c>
      <c r="H109" s="5"/>
      <c r="I109" s="5"/>
      <c r="J109" s="5"/>
      <c r="K109" s="5">
        <f t="shared" si="92"/>
        <v>2000000.0000000002</v>
      </c>
      <c r="L109" s="5">
        <v>80000</v>
      </c>
      <c r="M109" s="5">
        <v>80000</v>
      </c>
      <c r="N109" s="5"/>
      <c r="O109" s="5"/>
      <c r="P109" s="5"/>
      <c r="Q109" s="5"/>
      <c r="R109" s="5"/>
      <c r="S109" s="5"/>
      <c r="T109" s="5">
        <f t="shared" si="49"/>
        <v>160000</v>
      </c>
      <c r="U109" s="7">
        <f t="shared" si="104"/>
        <v>1840000.0000000002</v>
      </c>
      <c r="V109" s="7"/>
      <c r="W109" s="44"/>
      <c r="X109" s="7">
        <f t="shared" si="67"/>
        <v>1840000.0000000002</v>
      </c>
    </row>
    <row r="110" spans="1:24" ht="23.25" customHeight="1" x14ac:dyDescent="0.25">
      <c r="A110" s="90"/>
      <c r="B110" s="6">
        <v>65</v>
      </c>
      <c r="C110" s="11" t="s">
        <v>137</v>
      </c>
      <c r="D110" s="6"/>
      <c r="E110" s="5">
        <v>1200000</v>
      </c>
      <c r="F110" s="12">
        <v>30</v>
      </c>
      <c r="G110" s="5">
        <f t="shared" si="61"/>
        <v>1200000</v>
      </c>
      <c r="H110" s="5">
        <f t="shared" ref="H110" si="107">+(83140/30)*F110</f>
        <v>83140</v>
      </c>
      <c r="I110" s="5"/>
      <c r="J110" s="22"/>
      <c r="K110" s="5">
        <f t="shared" ref="K110:K112" si="108">SUM(G110:I110)+J110</f>
        <v>1283140</v>
      </c>
      <c r="L110" s="5">
        <f t="shared" ref="L110" si="109">+G110*4%</f>
        <v>48000</v>
      </c>
      <c r="M110" s="5">
        <f t="shared" ref="M110" si="110">+G110*4%</f>
        <v>48000</v>
      </c>
      <c r="N110" s="5"/>
      <c r="O110" s="5"/>
      <c r="P110" s="5">
        <v>0</v>
      </c>
      <c r="Q110" s="5"/>
      <c r="R110" s="5"/>
      <c r="S110" s="5"/>
      <c r="T110" s="5">
        <f t="shared" ref="T110:T112" si="111">SUM(L110:S110)</f>
        <v>96000</v>
      </c>
      <c r="U110" s="7">
        <f t="shared" si="104"/>
        <v>1187140</v>
      </c>
      <c r="V110" s="7"/>
      <c r="W110" s="44"/>
      <c r="X110" s="7">
        <f t="shared" si="67"/>
        <v>1187140</v>
      </c>
    </row>
    <row r="111" spans="1:24" ht="18.75" customHeight="1" x14ac:dyDescent="0.25">
      <c r="A111" s="90"/>
      <c r="B111" s="6">
        <v>66</v>
      </c>
      <c r="C111" s="11" t="s">
        <v>160</v>
      </c>
      <c r="D111" s="6"/>
      <c r="E111" s="5">
        <v>737717</v>
      </c>
      <c r="F111" s="12">
        <v>29</v>
      </c>
      <c r="G111" s="5">
        <f>E111/30*F111</f>
        <v>713126.43333333335</v>
      </c>
      <c r="H111" s="5">
        <v>16394</v>
      </c>
      <c r="I111" s="5"/>
      <c r="J111" s="22"/>
      <c r="K111" s="5">
        <f t="shared" si="108"/>
        <v>729520.43333333335</v>
      </c>
      <c r="L111" s="5"/>
      <c r="M111" s="5"/>
      <c r="N111" s="5"/>
      <c r="O111" s="5"/>
      <c r="P111" s="5"/>
      <c r="Q111" s="5"/>
      <c r="R111" s="5"/>
      <c r="S111" s="5"/>
      <c r="T111" s="5">
        <f>SUM(L111:S111)</f>
        <v>0</v>
      </c>
      <c r="U111" s="7">
        <f>+K111-T111</f>
        <v>729520.43333333335</v>
      </c>
      <c r="V111" s="7"/>
      <c r="W111" s="44"/>
      <c r="X111" s="7">
        <f t="shared" si="67"/>
        <v>729520.43333333335</v>
      </c>
    </row>
    <row r="112" spans="1:24" ht="23.25" customHeight="1" x14ac:dyDescent="0.25">
      <c r="A112" s="73"/>
      <c r="B112" s="6">
        <v>67</v>
      </c>
      <c r="C112" s="11" t="s">
        <v>186</v>
      </c>
      <c r="D112" s="6"/>
      <c r="E112" s="5">
        <v>1200000</v>
      </c>
      <c r="F112" s="12">
        <v>30</v>
      </c>
      <c r="G112" s="5">
        <f t="shared" ref="G112" si="112">E112/30*F112</f>
        <v>1200000</v>
      </c>
      <c r="H112" s="5">
        <f t="shared" ref="H112" si="113">+(83140/30)*F112</f>
        <v>83140</v>
      </c>
      <c r="I112" s="5"/>
      <c r="J112" s="22"/>
      <c r="K112" s="5">
        <f t="shared" si="108"/>
        <v>1283140</v>
      </c>
      <c r="L112" s="5">
        <f>+G112*4%</f>
        <v>48000</v>
      </c>
      <c r="M112" s="5">
        <f t="shared" ref="M112" si="114">+G112*4%</f>
        <v>48000</v>
      </c>
      <c r="N112" s="5"/>
      <c r="O112" s="5"/>
      <c r="P112" s="5">
        <v>0</v>
      </c>
      <c r="Q112" s="5"/>
      <c r="R112" s="5"/>
      <c r="S112" s="5"/>
      <c r="T112" s="5">
        <f t="shared" si="111"/>
        <v>96000</v>
      </c>
      <c r="U112" s="7">
        <f t="shared" ref="U112" si="115">+K112-T112</f>
        <v>1187140</v>
      </c>
      <c r="V112" s="7"/>
      <c r="W112" s="44"/>
      <c r="X112" s="7">
        <f t="shared" si="67"/>
        <v>1187140</v>
      </c>
    </row>
    <row r="113" spans="1:28" x14ac:dyDescent="0.25">
      <c r="A113" s="4"/>
      <c r="B113" s="4"/>
      <c r="C113" s="11" t="s">
        <v>140</v>
      </c>
      <c r="D113" s="4"/>
      <c r="E113" s="5">
        <f>SUM(E4:E112)</f>
        <v>371250630</v>
      </c>
      <c r="F113" s="5" t="s">
        <v>1</v>
      </c>
      <c r="G113" s="7">
        <f>SUM(G4:G112)</f>
        <v>365184039.4333334</v>
      </c>
      <c r="H113" s="7">
        <f>SUM(H4:H112)</f>
        <v>1014074</v>
      </c>
      <c r="I113" s="7">
        <f>SUM(I4:I112)</f>
        <v>14700430</v>
      </c>
      <c r="J113" s="7">
        <f t="shared" ref="J113:W113" si="116">SUM(J4:J112)</f>
        <v>9145348</v>
      </c>
      <c r="K113" s="7">
        <f>SUM(K4:K112)</f>
        <v>390043891.4333334</v>
      </c>
      <c r="L113" s="7">
        <f>SUM(L4:L112)</f>
        <v>14743545.479999999</v>
      </c>
      <c r="M113" s="7">
        <f>SUM(M4:M112)</f>
        <v>17919468.669999998</v>
      </c>
      <c r="N113" s="7">
        <f>SUM(N4:N112)</f>
        <v>540734</v>
      </c>
      <c r="O113" s="7">
        <f t="shared" si="116"/>
        <v>2277509</v>
      </c>
      <c r="P113" s="7">
        <f t="shared" si="116"/>
        <v>4258943</v>
      </c>
      <c r="Q113" s="7">
        <f t="shared" si="116"/>
        <v>10665000</v>
      </c>
      <c r="R113" s="7">
        <f t="shared" si="116"/>
        <v>344614</v>
      </c>
      <c r="S113" s="7">
        <f t="shared" si="116"/>
        <v>16246111</v>
      </c>
      <c r="T113" s="7">
        <f t="shared" si="116"/>
        <v>66995927.07</v>
      </c>
      <c r="U113" s="7">
        <f>SUM(U4:U112)</f>
        <v>323047964.36333328</v>
      </c>
      <c r="V113" s="7">
        <f t="shared" si="116"/>
        <v>0</v>
      </c>
      <c r="W113" s="7">
        <f t="shared" si="116"/>
        <v>0</v>
      </c>
      <c r="X113" s="7">
        <f>SUM(X4:X112)</f>
        <v>323047964.36333328</v>
      </c>
    </row>
    <row r="114" spans="1:28" x14ac:dyDescent="0.25">
      <c r="E114" s="54"/>
      <c r="F114" s="54"/>
      <c r="G114" s="54"/>
      <c r="U114" s="55"/>
      <c r="V114" s="55"/>
      <c r="X114" s="55"/>
    </row>
    <row r="115" spans="1:28" x14ac:dyDescent="0.25">
      <c r="D115" s="53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7"/>
      <c r="V115" s="53"/>
      <c r="W115" s="58"/>
      <c r="X115" s="57"/>
    </row>
    <row r="116" spans="1:28" x14ac:dyDescent="0.25">
      <c r="D116" s="53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3"/>
      <c r="V116" s="53"/>
      <c r="W116" s="58"/>
      <c r="X116" s="57"/>
    </row>
    <row r="117" spans="1:28" x14ac:dyDescent="0.25">
      <c r="C117" s="59"/>
      <c r="D117" s="53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3"/>
      <c r="V117" s="53"/>
      <c r="W117" s="58"/>
      <c r="X117" s="57"/>
    </row>
    <row r="118" spans="1:28" x14ac:dyDescent="0.25">
      <c r="C118" s="59"/>
      <c r="D118" s="53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3"/>
      <c r="V118" s="53"/>
      <c r="W118" s="58"/>
      <c r="X118" s="53"/>
      <c r="Y118" s="53"/>
      <c r="Z118" s="53"/>
      <c r="AA118" s="53"/>
      <c r="AB118" s="53"/>
    </row>
    <row r="119" spans="1:28" x14ac:dyDescent="0.25">
      <c r="B119" s="53"/>
      <c r="C119" s="59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54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53"/>
      <c r="Z119" s="53"/>
      <c r="AA119" s="53"/>
      <c r="AB119" s="53"/>
    </row>
    <row r="120" spans="1:28" x14ac:dyDescent="0.25">
      <c r="B120" s="53"/>
      <c r="C120" s="59"/>
      <c r="D120" s="53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3"/>
      <c r="V120" s="53"/>
      <c r="W120" s="58"/>
      <c r="X120" s="53"/>
      <c r="Y120" s="53"/>
      <c r="Z120" s="53"/>
      <c r="AA120" s="53"/>
      <c r="AB120" s="53"/>
    </row>
    <row r="121" spans="1:28" x14ac:dyDescent="0.25">
      <c r="B121" s="53"/>
      <c r="C121" s="59"/>
      <c r="D121" s="53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3"/>
      <c r="V121" s="53"/>
      <c r="W121" s="58"/>
      <c r="X121" s="53"/>
      <c r="Y121" s="53"/>
      <c r="Z121" s="53"/>
      <c r="AA121" s="53"/>
      <c r="AB121" s="53"/>
    </row>
    <row r="122" spans="1:28" x14ac:dyDescent="0.25">
      <c r="B122" s="53"/>
      <c r="C122" s="59"/>
      <c r="D122" s="53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3"/>
      <c r="V122" s="53"/>
      <c r="W122" s="58"/>
      <c r="X122" s="53"/>
      <c r="Y122" s="53"/>
      <c r="Z122" s="53"/>
      <c r="AA122" s="53"/>
      <c r="AB122" s="53"/>
    </row>
    <row r="123" spans="1:28" x14ac:dyDescent="0.25">
      <c r="B123" s="53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2"/>
      <c r="W123" s="63"/>
      <c r="X123" s="62"/>
      <c r="Y123" s="53"/>
      <c r="Z123" s="53"/>
      <c r="AA123" s="53"/>
      <c r="AB123" s="53"/>
    </row>
    <row r="124" spans="1:28" x14ac:dyDescent="0.25">
      <c r="B124" s="64"/>
      <c r="C124" s="59"/>
      <c r="D124" s="62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2"/>
      <c r="V124" s="62"/>
      <c r="W124" s="63"/>
      <c r="X124" s="62"/>
      <c r="Y124" s="53"/>
      <c r="Z124" s="53"/>
      <c r="AA124" s="53"/>
      <c r="AB124" s="53"/>
    </row>
    <row r="125" spans="1:28" x14ac:dyDescent="0.25">
      <c r="B125" s="53"/>
      <c r="C125" s="59"/>
      <c r="D125" s="53"/>
      <c r="E125" s="54"/>
      <c r="F125" s="54"/>
      <c r="G125" s="66"/>
      <c r="H125" s="54"/>
      <c r="I125" s="54"/>
      <c r="J125" s="54"/>
      <c r="K125" s="54"/>
      <c r="L125" s="54"/>
      <c r="M125" s="54"/>
      <c r="N125" s="67"/>
      <c r="O125" s="67"/>
      <c r="P125" s="67"/>
      <c r="Q125" s="67"/>
      <c r="R125" s="67"/>
      <c r="S125" s="54"/>
      <c r="T125" s="54"/>
      <c r="U125" s="53"/>
      <c r="V125" s="53"/>
      <c r="W125" s="58"/>
      <c r="X125" s="53"/>
      <c r="Y125" s="53"/>
      <c r="Z125" s="53"/>
      <c r="AA125" s="53"/>
      <c r="AB125" s="53"/>
    </row>
    <row r="126" spans="1:28" x14ac:dyDescent="0.25">
      <c r="B126" s="53"/>
      <c r="C126" s="68"/>
      <c r="D126" s="62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2"/>
      <c r="V126" s="62"/>
      <c r="W126" s="63"/>
      <c r="X126" s="62"/>
      <c r="Y126" s="53"/>
      <c r="Z126" s="53"/>
      <c r="AA126" s="53"/>
      <c r="AB126" s="53"/>
    </row>
    <row r="127" spans="1:28" x14ac:dyDescent="0.25">
      <c r="B127" s="62"/>
      <c r="C127" s="68"/>
      <c r="D127" s="62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2"/>
      <c r="V127" s="62"/>
      <c r="W127" s="63"/>
      <c r="X127" s="62"/>
      <c r="Y127" s="53"/>
      <c r="Z127" s="53"/>
      <c r="AA127" s="53"/>
      <c r="AB127" s="53"/>
    </row>
    <row r="128" spans="1:28" x14ac:dyDescent="0.25">
      <c r="B128" s="53"/>
      <c r="C128" s="68"/>
      <c r="D128" s="62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7"/>
      <c r="V128" s="57"/>
      <c r="W128" s="58"/>
      <c r="X128" s="57"/>
      <c r="Y128" s="53"/>
      <c r="Z128" s="53"/>
      <c r="AA128" s="53"/>
      <c r="AB128" s="53"/>
    </row>
    <row r="129" spans="3:28" x14ac:dyDescent="0.25">
      <c r="C129" s="68"/>
      <c r="D129" s="62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7"/>
      <c r="V129" s="57"/>
      <c r="W129" s="58"/>
      <c r="X129" s="57"/>
      <c r="Y129" s="53"/>
      <c r="Z129" s="53"/>
      <c r="AA129" s="53"/>
      <c r="AB129" s="53"/>
    </row>
    <row r="130" spans="3:28" x14ac:dyDescent="0.25">
      <c r="C130" s="68"/>
      <c r="D130" s="62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7"/>
      <c r="V130" s="57"/>
      <c r="W130" s="58"/>
      <c r="X130" s="57"/>
      <c r="Y130" s="53"/>
      <c r="Z130" s="53"/>
      <c r="AA130" s="53"/>
      <c r="AB130" s="53"/>
    </row>
    <row r="131" spans="3:28" x14ac:dyDescent="0.25">
      <c r="C131" s="68"/>
      <c r="D131" s="62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7"/>
      <c r="V131" s="57"/>
      <c r="W131" s="58"/>
      <c r="X131" s="57"/>
      <c r="Y131" s="53"/>
      <c r="Z131" s="53"/>
      <c r="AA131" s="53"/>
      <c r="AB131" s="53"/>
    </row>
    <row r="132" spans="3:28" x14ac:dyDescent="0.25">
      <c r="C132" s="68"/>
      <c r="D132" s="62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7"/>
      <c r="V132" s="57"/>
      <c r="W132" s="58"/>
      <c r="X132" s="57"/>
      <c r="Y132" s="53"/>
      <c r="Z132" s="53"/>
      <c r="AA132" s="53"/>
      <c r="AB132" s="53"/>
    </row>
    <row r="133" spans="3:28" x14ac:dyDescent="0.25">
      <c r="C133" s="68"/>
      <c r="D133" s="62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7"/>
      <c r="V133" s="57"/>
      <c r="W133" s="58"/>
      <c r="X133" s="57"/>
      <c r="Y133" s="53"/>
      <c r="Z133" s="53"/>
      <c r="AA133" s="53"/>
      <c r="AB133" s="53"/>
    </row>
    <row r="134" spans="3:28" x14ac:dyDescent="0.25">
      <c r="C134" s="59"/>
      <c r="D134" s="53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7"/>
      <c r="V134" s="57"/>
      <c r="W134" s="58"/>
      <c r="X134" s="57"/>
      <c r="Y134" s="53"/>
      <c r="Z134" s="53"/>
      <c r="AA134" s="53"/>
      <c r="AB134" s="53"/>
    </row>
    <row r="135" spans="3:28" x14ac:dyDescent="0.25">
      <c r="C135" s="68"/>
      <c r="D135" s="53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7"/>
      <c r="V135" s="57"/>
      <c r="W135" s="58"/>
      <c r="X135" s="57"/>
      <c r="Y135" s="53"/>
      <c r="Z135" s="53"/>
      <c r="AA135" s="53"/>
      <c r="AB135" s="53"/>
    </row>
    <row r="136" spans="3:28" x14ac:dyDescent="0.25">
      <c r="C136" s="68"/>
      <c r="D136" s="53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7"/>
      <c r="V136" s="57"/>
      <c r="W136" s="58"/>
      <c r="X136" s="57"/>
      <c r="Y136" s="53"/>
      <c r="Z136" s="53"/>
      <c r="AA136" s="53"/>
      <c r="AB136" s="53"/>
    </row>
    <row r="137" spans="3:28" x14ac:dyDescent="0.25">
      <c r="C137" s="68"/>
      <c r="D137" s="53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7"/>
      <c r="V137" s="57"/>
      <c r="W137" s="58"/>
      <c r="X137" s="57"/>
      <c r="Y137" s="53"/>
      <c r="Z137" s="53"/>
      <c r="AA137" s="53"/>
      <c r="AB137" s="53"/>
    </row>
    <row r="138" spans="3:28" x14ac:dyDescent="0.25">
      <c r="C138" s="68"/>
      <c r="D138" s="53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7"/>
      <c r="V138" s="57"/>
      <c r="W138" s="58"/>
      <c r="X138" s="57"/>
      <c r="Y138" s="53"/>
      <c r="Z138" s="53"/>
      <c r="AA138" s="53"/>
      <c r="AB138" s="53"/>
    </row>
    <row r="139" spans="3:28" x14ac:dyDescent="0.25">
      <c r="C139" s="68"/>
      <c r="D139" s="53"/>
      <c r="E139" s="54"/>
      <c r="F139" s="54"/>
      <c r="G139" s="54"/>
      <c r="H139" s="54"/>
      <c r="I139" s="54"/>
      <c r="J139" s="54"/>
      <c r="K139" s="54">
        <f>737717*4</f>
        <v>2950868</v>
      </c>
      <c r="L139" s="54">
        <f>737717*2</f>
        <v>1475434</v>
      </c>
      <c r="M139" s="54"/>
      <c r="N139" s="54"/>
      <c r="O139" s="54"/>
      <c r="P139" s="54"/>
      <c r="Q139" s="54"/>
      <c r="R139" s="54"/>
      <c r="S139" s="54"/>
      <c r="T139" s="54"/>
      <c r="U139" s="57"/>
      <c r="V139" s="57"/>
      <c r="W139" s="58"/>
      <c r="X139" s="57"/>
      <c r="Y139" s="53"/>
      <c r="Z139" s="53"/>
      <c r="AA139" s="53"/>
      <c r="AB139" s="53"/>
    </row>
    <row r="140" spans="3:28" x14ac:dyDescent="0.25">
      <c r="C140" s="68"/>
      <c r="D140" s="53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7"/>
      <c r="V140" s="57"/>
      <c r="W140" s="58"/>
      <c r="X140" s="57"/>
      <c r="Y140" s="53"/>
      <c r="Z140" s="53"/>
      <c r="AA140" s="53"/>
      <c r="AB140" s="53"/>
    </row>
    <row r="141" spans="3:28" x14ac:dyDescent="0.25">
      <c r="C141" s="68"/>
      <c r="D141" s="53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7"/>
      <c r="V141" s="57"/>
      <c r="W141" s="58"/>
      <c r="X141" s="57"/>
      <c r="Y141" s="53"/>
      <c r="Z141" s="53"/>
      <c r="AA141" s="53"/>
      <c r="AB141" s="53"/>
    </row>
    <row r="142" spans="3:28" x14ac:dyDescent="0.25">
      <c r="C142" s="68"/>
      <c r="D142" s="53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7"/>
      <c r="V142" s="57"/>
      <c r="W142" s="58"/>
      <c r="X142" s="57"/>
      <c r="Y142" s="53"/>
      <c r="Z142" s="53"/>
      <c r="AA142" s="53"/>
      <c r="AB142" s="53"/>
    </row>
    <row r="143" spans="3:28" x14ac:dyDescent="0.25">
      <c r="C143" s="68"/>
      <c r="D143" s="53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7"/>
      <c r="V143" s="57"/>
      <c r="W143" s="58"/>
      <c r="X143" s="57"/>
      <c r="Y143" s="53"/>
      <c r="Z143" s="53"/>
      <c r="AA143" s="53"/>
      <c r="AB143" s="53"/>
    </row>
    <row r="144" spans="3:28" x14ac:dyDescent="0.25">
      <c r="C144" s="68"/>
      <c r="D144" s="53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7"/>
      <c r="V144" s="57"/>
      <c r="W144" s="58"/>
      <c r="X144" s="57"/>
      <c r="Y144" s="53"/>
      <c r="Z144" s="53"/>
      <c r="AA144" s="53"/>
      <c r="AB144" s="53"/>
    </row>
    <row r="145" spans="2:28" x14ac:dyDescent="0.25">
      <c r="C145" s="68"/>
      <c r="D145" s="53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7"/>
      <c r="V145" s="57"/>
      <c r="W145" s="58"/>
      <c r="X145" s="57"/>
      <c r="Y145" s="53"/>
      <c r="Z145" s="53"/>
      <c r="AA145" s="53"/>
      <c r="AB145" s="53"/>
    </row>
    <row r="146" spans="2:28" x14ac:dyDescent="0.25">
      <c r="C146" s="59"/>
      <c r="D146" s="53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3"/>
      <c r="V146" s="53"/>
      <c r="W146" s="58"/>
      <c r="X146" s="53"/>
      <c r="Y146" s="53"/>
      <c r="Z146" s="53"/>
      <c r="AA146" s="53"/>
      <c r="AB146" s="53"/>
    </row>
    <row r="147" spans="2:28" x14ac:dyDescent="0.25">
      <c r="C147" s="59"/>
      <c r="D147" s="53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53"/>
      <c r="S147" s="54"/>
      <c r="T147" s="54"/>
      <c r="U147" s="53"/>
      <c r="V147" s="53"/>
      <c r="W147" s="58"/>
      <c r="X147" s="53"/>
      <c r="Y147" s="53"/>
      <c r="Z147" s="53"/>
      <c r="AA147" s="53"/>
      <c r="AB147" s="53"/>
    </row>
    <row r="148" spans="2:28" x14ac:dyDescent="0.25">
      <c r="B148" s="53"/>
      <c r="C148" s="59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53"/>
      <c r="Z148" s="53"/>
      <c r="AA148" s="53"/>
      <c r="AB148" s="53"/>
    </row>
    <row r="149" spans="2:28" x14ac:dyDescent="0.25">
      <c r="B149" s="53"/>
      <c r="C149" s="59"/>
      <c r="D149" s="53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2"/>
      <c r="V149" s="62"/>
      <c r="W149" s="63"/>
      <c r="X149" s="62"/>
      <c r="Y149" s="53"/>
      <c r="Z149" s="53"/>
      <c r="AA149" s="53"/>
      <c r="AB149" s="53"/>
    </row>
    <row r="150" spans="2:28" x14ac:dyDescent="0.25">
      <c r="B150" s="53"/>
      <c r="C150" s="68"/>
      <c r="D150" s="62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2"/>
      <c r="V150" s="62"/>
      <c r="W150" s="63"/>
      <c r="X150" s="62"/>
    </row>
    <row r="151" spans="2:28" x14ac:dyDescent="0.25">
      <c r="B151" s="69"/>
      <c r="C151" s="68"/>
      <c r="D151" s="62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2"/>
      <c r="V151" s="62"/>
      <c r="W151" s="63"/>
      <c r="X151" s="62"/>
    </row>
    <row r="152" spans="2:28" x14ac:dyDescent="0.25">
      <c r="C152" s="68"/>
      <c r="D152" s="62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7"/>
      <c r="V152" s="57"/>
      <c r="W152" s="58"/>
      <c r="X152" s="57"/>
    </row>
    <row r="153" spans="2:28" x14ac:dyDescent="0.25">
      <c r="C153" s="68"/>
      <c r="D153" s="62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7"/>
      <c r="V153" s="57"/>
      <c r="W153" s="58"/>
      <c r="X153" s="57"/>
    </row>
    <row r="154" spans="2:28" x14ac:dyDescent="0.25">
      <c r="C154" s="68"/>
      <c r="D154" s="62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7"/>
      <c r="V154" s="57"/>
      <c r="W154" s="58"/>
      <c r="X154" s="57"/>
    </row>
    <row r="155" spans="2:28" x14ac:dyDescent="0.25">
      <c r="C155" s="59"/>
      <c r="D155" s="53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7"/>
      <c r="V155" s="57"/>
      <c r="W155" s="58"/>
      <c r="X155" s="57"/>
    </row>
    <row r="156" spans="2:28" x14ac:dyDescent="0.25">
      <c r="C156" s="68"/>
      <c r="D156" s="53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7"/>
      <c r="V156" s="57"/>
      <c r="W156" s="58"/>
      <c r="X156" s="57"/>
    </row>
    <row r="157" spans="2:28" x14ac:dyDescent="0.25">
      <c r="C157" s="59"/>
      <c r="D157" s="53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3"/>
      <c r="V157" s="53"/>
      <c r="W157" s="58"/>
      <c r="X157" s="53"/>
    </row>
    <row r="158" spans="2:28" x14ac:dyDescent="0.25">
      <c r="C158" s="59"/>
      <c r="D158" s="53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7"/>
      <c r="V158" s="57"/>
      <c r="W158" s="58"/>
      <c r="X158" s="57"/>
    </row>
    <row r="159" spans="2:28" x14ac:dyDescent="0.25">
      <c r="B159" s="53"/>
      <c r="C159" s="59"/>
      <c r="D159" s="53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3"/>
      <c r="V159" s="53"/>
      <c r="W159" s="58"/>
      <c r="X159" s="53"/>
    </row>
    <row r="160" spans="2:28" x14ac:dyDescent="0.25">
      <c r="B160" s="53"/>
      <c r="C160" s="59"/>
      <c r="D160" s="53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3"/>
      <c r="V160" s="53"/>
      <c r="W160" s="58"/>
      <c r="X160" s="53"/>
    </row>
    <row r="161" spans="2:24" x14ac:dyDescent="0.25">
      <c r="B161" s="53"/>
      <c r="C161" s="59"/>
      <c r="D161" s="53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70"/>
      <c r="V161" s="70"/>
      <c r="W161" s="58"/>
      <c r="X161" s="70"/>
    </row>
    <row r="162" spans="2:24" x14ac:dyDescent="0.25">
      <c r="B162" s="53"/>
      <c r="C162" s="59"/>
      <c r="D162" s="53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71"/>
      <c r="V162" s="71"/>
      <c r="W162" s="58"/>
      <c r="X162" s="71"/>
    </row>
    <row r="163" spans="2:24" x14ac:dyDescent="0.25">
      <c r="C163" s="59"/>
      <c r="D163" s="53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3"/>
      <c r="V163" s="53"/>
      <c r="W163" s="58"/>
      <c r="X163" s="53"/>
    </row>
    <row r="164" spans="2:24" x14ac:dyDescent="0.25">
      <c r="C164" s="59"/>
      <c r="D164" s="53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3"/>
      <c r="V164" s="53"/>
      <c r="W164" s="58"/>
      <c r="X164" s="53"/>
    </row>
    <row r="165" spans="2:24" x14ac:dyDescent="0.25">
      <c r="C165" s="59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3"/>
      <c r="V165" s="53"/>
      <c r="W165" s="58"/>
      <c r="X165" s="53"/>
    </row>
    <row r="166" spans="2:24" x14ac:dyDescent="0.25">
      <c r="C166" s="59"/>
      <c r="D166" s="53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3"/>
      <c r="V166" s="53"/>
      <c r="W166" s="58"/>
      <c r="X166" s="53"/>
    </row>
    <row r="167" spans="2:24" x14ac:dyDescent="0.25">
      <c r="C167" s="59"/>
      <c r="D167" s="53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3"/>
      <c r="V167" s="53"/>
      <c r="W167" s="58"/>
      <c r="X167" s="53"/>
    </row>
    <row r="168" spans="2:24" x14ac:dyDescent="0.25">
      <c r="C168" s="59"/>
      <c r="D168" s="53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3"/>
      <c r="V168" s="53"/>
      <c r="W168" s="58"/>
      <c r="X168" s="53"/>
    </row>
    <row r="169" spans="2:24" x14ac:dyDescent="0.25">
      <c r="C169" s="59"/>
      <c r="D169" s="53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3"/>
      <c r="V169" s="53"/>
      <c r="W169" s="58"/>
      <c r="X169" s="53"/>
    </row>
    <row r="170" spans="2:24" x14ac:dyDescent="0.25">
      <c r="C170" s="59"/>
      <c r="D170" s="53"/>
      <c r="E170" s="54"/>
      <c r="F170" s="54"/>
      <c r="G170" s="54"/>
      <c r="H170" s="54"/>
      <c r="I170" s="54"/>
      <c r="J170" s="54"/>
      <c r="K170" s="54"/>
      <c r="L170" s="54">
        <v>3003000</v>
      </c>
      <c r="M170" s="54"/>
      <c r="N170" s="54"/>
      <c r="O170" s="54"/>
      <c r="P170" s="54"/>
      <c r="Q170" s="54"/>
      <c r="R170" s="54"/>
      <c r="S170" s="54"/>
      <c r="T170" s="54"/>
      <c r="U170" s="53"/>
      <c r="V170" s="53"/>
      <c r="W170" s="58"/>
      <c r="X170" s="53"/>
    </row>
    <row r="171" spans="2:24" x14ac:dyDescent="0.25">
      <c r="C171" s="68"/>
      <c r="D171" s="53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3"/>
      <c r="V171" s="53"/>
      <c r="W171" s="58"/>
      <c r="X171" s="53"/>
    </row>
    <row r="172" spans="2:24" x14ac:dyDescent="0.25">
      <c r="C172" s="68"/>
      <c r="D172" s="53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3"/>
      <c r="V172" s="53"/>
      <c r="W172" s="58"/>
      <c r="X172" s="53"/>
    </row>
    <row r="173" spans="2:24" x14ac:dyDescent="0.25">
      <c r="C173" s="68"/>
      <c r="D173" s="53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3"/>
      <c r="V173" s="53"/>
      <c r="W173" s="58"/>
      <c r="X173" s="53"/>
    </row>
    <row r="174" spans="2:24" x14ac:dyDescent="0.25">
      <c r="C174" s="68"/>
      <c r="D174" s="53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3"/>
      <c r="V174" s="53"/>
      <c r="W174" s="58"/>
      <c r="X174" s="53"/>
    </row>
    <row r="175" spans="2:24" x14ac:dyDescent="0.25">
      <c r="C175" s="59">
        <v>42614840</v>
      </c>
      <c r="D175" s="53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>
        <v>412608</v>
      </c>
      <c r="U175" s="53"/>
      <c r="V175" s="53"/>
      <c r="W175" s="58"/>
      <c r="X175" s="53"/>
    </row>
    <row r="176" spans="2:24" x14ac:dyDescent="0.25">
      <c r="C176" s="59">
        <v>9675182</v>
      </c>
      <c r="D176" s="53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>
        <v>1880000</v>
      </c>
      <c r="U176" s="53"/>
      <c r="V176" s="53"/>
      <c r="W176" s="58"/>
      <c r="X176" s="53"/>
    </row>
    <row r="177" spans="3:24" x14ac:dyDescent="0.25">
      <c r="C177" s="59">
        <v>17903600</v>
      </c>
      <c r="D177" s="53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3"/>
      <c r="V177" s="53"/>
      <c r="W177" s="58"/>
      <c r="X177" s="53"/>
    </row>
    <row r="178" spans="3:24" x14ac:dyDescent="0.25">
      <c r="C178" s="59">
        <f>SUM(C175:C177)</f>
        <v>70193622</v>
      </c>
      <c r="D178" s="53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3"/>
      <c r="V178" s="53"/>
      <c r="W178" s="58"/>
      <c r="X178" s="53"/>
    </row>
    <row r="179" spans="3:24" x14ac:dyDescent="0.25">
      <c r="C179" s="59">
        <v>400000</v>
      </c>
      <c r="D179" s="53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3"/>
      <c r="V179" s="53"/>
      <c r="W179" s="58"/>
      <c r="X179" s="53"/>
    </row>
    <row r="180" spans="3:24" x14ac:dyDescent="0.25">
      <c r="C180" s="59">
        <f>+C178+C179</f>
        <v>70593622</v>
      </c>
      <c r="D180" s="53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3"/>
      <c r="V180" s="53"/>
      <c r="W180" s="58"/>
      <c r="X180" s="53"/>
    </row>
    <row r="184" spans="3:24" x14ac:dyDescent="0.25">
      <c r="C184" s="52">
        <v>11000000</v>
      </c>
    </row>
    <row r="185" spans="3:24" x14ac:dyDescent="0.25">
      <c r="C185" s="52">
        <f>+C183+C184</f>
        <v>11000000</v>
      </c>
    </row>
    <row r="190" spans="3:24" x14ac:dyDescent="0.25">
      <c r="C190" s="52">
        <v>3185000</v>
      </c>
    </row>
    <row r="191" spans="3:24" x14ac:dyDescent="0.25">
      <c r="C191" s="52">
        <v>1080000</v>
      </c>
    </row>
    <row r="192" spans="3:24" x14ac:dyDescent="0.25">
      <c r="C192" s="52">
        <v>4850100</v>
      </c>
    </row>
    <row r="193" spans="3:3" x14ac:dyDescent="0.25">
      <c r="C193" s="52">
        <v>5027500</v>
      </c>
    </row>
    <row r="194" spans="3:3" x14ac:dyDescent="0.25">
      <c r="C194" s="52">
        <v>4566000</v>
      </c>
    </row>
    <row r="195" spans="3:3" x14ac:dyDescent="0.25">
      <c r="C195" s="52">
        <v>1050000</v>
      </c>
    </row>
    <row r="196" spans="3:3" x14ac:dyDescent="0.25">
      <c r="C196" s="52">
        <v>3877333</v>
      </c>
    </row>
    <row r="197" spans="3:3" x14ac:dyDescent="0.25">
      <c r="C197" s="52">
        <v>6732440</v>
      </c>
    </row>
    <row r="198" spans="3:3" x14ac:dyDescent="0.25">
      <c r="C198" s="52">
        <v>3460000</v>
      </c>
    </row>
    <row r="199" spans="3:3" x14ac:dyDescent="0.25">
      <c r="C199" s="52">
        <v>588800</v>
      </c>
    </row>
    <row r="200" spans="3:3" x14ac:dyDescent="0.25">
      <c r="C200" s="52">
        <v>1868000</v>
      </c>
    </row>
    <row r="201" spans="3:3" x14ac:dyDescent="0.25">
      <c r="C201" s="52">
        <v>10313000</v>
      </c>
    </row>
    <row r="202" spans="3:3" x14ac:dyDescent="0.25">
      <c r="C202" s="52">
        <v>3443800</v>
      </c>
    </row>
    <row r="203" spans="3:3" x14ac:dyDescent="0.25">
      <c r="C203" s="52">
        <v>8136400</v>
      </c>
    </row>
    <row r="204" spans="3:3" x14ac:dyDescent="0.25">
      <c r="C204" s="52">
        <v>9675183</v>
      </c>
    </row>
    <row r="205" spans="3:3" x14ac:dyDescent="0.25">
      <c r="C205" s="52">
        <f>SUM(C189:C204)</f>
        <v>67853556</v>
      </c>
    </row>
  </sheetData>
  <mergeCells count="7">
    <mergeCell ref="D148:X148"/>
    <mergeCell ref="C1:U1"/>
    <mergeCell ref="E2:K2"/>
    <mergeCell ref="L2:T2"/>
    <mergeCell ref="A3:A45"/>
    <mergeCell ref="A46:A111"/>
    <mergeCell ref="E147:Q147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202E-BD38-424C-AB81-BC5522CF2A97}">
  <dimension ref="A1:AC203"/>
  <sheetViews>
    <sheetView workbookViewId="0">
      <selection activeCell="J7" sqref="J7"/>
    </sheetView>
  </sheetViews>
  <sheetFormatPr baseColWidth="10" defaultRowHeight="12" x14ac:dyDescent="0.25"/>
  <cols>
    <col min="1" max="1" width="10.42578125" style="10" customWidth="1"/>
    <col min="2" max="2" width="4.85546875" style="10" customWidth="1"/>
    <col min="3" max="3" width="32.28515625" style="24" customWidth="1"/>
    <col min="4" max="4" width="8.5703125" style="10" customWidth="1"/>
    <col min="5" max="5" width="10.85546875" style="27" customWidth="1"/>
    <col min="6" max="6" width="4.42578125" style="27" customWidth="1"/>
    <col min="7" max="7" width="13" style="27" customWidth="1"/>
    <col min="8" max="8" width="11.28515625" style="27" bestFit="1" customWidth="1"/>
    <col min="9" max="9" width="11.28515625" style="27" customWidth="1"/>
    <col min="10" max="11" width="12.28515625" style="27" bestFit="1" customWidth="1"/>
    <col min="12" max="12" width="13.28515625" style="27" bestFit="1" customWidth="1"/>
    <col min="13" max="14" width="12.28515625" style="27" bestFit="1" customWidth="1"/>
    <col min="15" max="17" width="11.28515625" style="27" bestFit="1" customWidth="1"/>
    <col min="18" max="18" width="12.28515625" style="27" bestFit="1" customWidth="1"/>
    <col min="19" max="19" width="11.28515625" style="27" bestFit="1" customWidth="1"/>
    <col min="20" max="21" width="12.28515625" style="27" bestFit="1" customWidth="1"/>
    <col min="22" max="22" width="17.85546875" style="10" bestFit="1" customWidth="1"/>
    <col min="23" max="23" width="1.7109375" style="10" customWidth="1"/>
    <col min="24" max="24" width="1.85546875" style="28" customWidth="1"/>
    <col min="25" max="25" width="27.28515625" style="10" customWidth="1"/>
    <col min="26" max="247" width="11.42578125" style="10"/>
    <col min="248" max="248" width="10.5703125" style="10" customWidth="1"/>
    <col min="249" max="249" width="4.85546875" style="10" customWidth="1"/>
    <col min="250" max="250" width="32.42578125" style="10" customWidth="1"/>
    <col min="251" max="251" width="9.85546875" style="10" customWidth="1"/>
    <col min="252" max="252" width="10.140625" style="10" customWidth="1"/>
    <col min="253" max="253" width="12.28515625" style="10" customWidth="1"/>
    <col min="254" max="254" width="15.42578125" style="10" customWidth="1"/>
    <col min="255" max="255" width="11.85546875" style="10" customWidth="1"/>
    <col min="256" max="256" width="13.28515625" style="10" customWidth="1"/>
    <col min="257" max="257" width="15.28515625" style="10" customWidth="1"/>
    <col min="258" max="258" width="11.85546875" style="10" customWidth="1"/>
    <col min="259" max="259" width="6.140625" style="10" customWidth="1"/>
    <col min="260" max="260" width="11.85546875" style="10" customWidth="1"/>
    <col min="261" max="261" width="9.42578125" style="10" customWidth="1"/>
    <col min="262" max="262" width="14.7109375" style="10" customWidth="1"/>
    <col min="263" max="263" width="11.5703125" style="10" customWidth="1"/>
    <col min="264" max="264" width="0.42578125" style="10" customWidth="1"/>
    <col min="265" max="265" width="10.5703125" style="10" bestFit="1" customWidth="1"/>
    <col min="266" max="266" width="12.28515625" style="10" customWidth="1"/>
    <col min="267" max="267" width="12.5703125" style="10" customWidth="1"/>
    <col min="268" max="268" width="10.5703125" style="10" customWidth="1"/>
    <col min="269" max="269" width="10.140625" style="10" customWidth="1"/>
    <col min="270" max="270" width="8.42578125" style="10" customWidth="1"/>
    <col min="271" max="271" width="18.85546875" style="10" customWidth="1"/>
    <col min="272" max="272" width="10.28515625" style="10" customWidth="1"/>
    <col min="273" max="273" width="11.42578125" style="10"/>
    <col min="274" max="274" width="12.140625" style="10" customWidth="1"/>
    <col min="275" max="275" width="10.5703125" style="10" customWidth="1"/>
    <col min="276" max="276" width="12.42578125" style="10" customWidth="1"/>
    <col min="277" max="277" width="15.140625" style="10" customWidth="1"/>
    <col min="278" max="278" width="13.5703125" style="10" customWidth="1"/>
    <col min="279" max="279" width="13.140625" style="10" customWidth="1"/>
    <col min="280" max="280" width="15.7109375" style="10" customWidth="1"/>
    <col min="281" max="281" width="37.5703125" style="10" customWidth="1"/>
    <col min="282" max="503" width="11.42578125" style="10"/>
    <col min="504" max="504" width="10.5703125" style="10" customWidth="1"/>
    <col min="505" max="505" width="4.85546875" style="10" customWidth="1"/>
    <col min="506" max="506" width="32.42578125" style="10" customWidth="1"/>
    <col min="507" max="507" width="9.85546875" style="10" customWidth="1"/>
    <col min="508" max="508" width="10.140625" style="10" customWidth="1"/>
    <col min="509" max="509" width="12.28515625" style="10" customWidth="1"/>
    <col min="510" max="510" width="15.42578125" style="10" customWidth="1"/>
    <col min="511" max="511" width="11.85546875" style="10" customWidth="1"/>
    <col min="512" max="512" width="13.28515625" style="10" customWidth="1"/>
    <col min="513" max="513" width="15.28515625" style="10" customWidth="1"/>
    <col min="514" max="514" width="11.85546875" style="10" customWidth="1"/>
    <col min="515" max="515" width="6.140625" style="10" customWidth="1"/>
    <col min="516" max="516" width="11.85546875" style="10" customWidth="1"/>
    <col min="517" max="517" width="9.42578125" style="10" customWidth="1"/>
    <col min="518" max="518" width="14.7109375" style="10" customWidth="1"/>
    <col min="519" max="519" width="11.5703125" style="10" customWidth="1"/>
    <col min="520" max="520" width="0.42578125" style="10" customWidth="1"/>
    <col min="521" max="521" width="10.5703125" style="10" bestFit="1" customWidth="1"/>
    <col min="522" max="522" width="12.28515625" style="10" customWidth="1"/>
    <col min="523" max="523" width="12.5703125" style="10" customWidth="1"/>
    <col min="524" max="524" width="10.5703125" style="10" customWidth="1"/>
    <col min="525" max="525" width="10.140625" style="10" customWidth="1"/>
    <col min="526" max="526" width="8.42578125" style="10" customWidth="1"/>
    <col min="527" max="527" width="18.85546875" style="10" customWidth="1"/>
    <col min="528" max="528" width="10.28515625" style="10" customWidth="1"/>
    <col min="529" max="529" width="11.42578125" style="10"/>
    <col min="530" max="530" width="12.140625" style="10" customWidth="1"/>
    <col min="531" max="531" width="10.5703125" style="10" customWidth="1"/>
    <col min="532" max="532" width="12.42578125" style="10" customWidth="1"/>
    <col min="533" max="533" width="15.140625" style="10" customWidth="1"/>
    <col min="534" max="534" width="13.5703125" style="10" customWidth="1"/>
    <col min="535" max="535" width="13.140625" style="10" customWidth="1"/>
    <col min="536" max="536" width="15.7109375" style="10" customWidth="1"/>
    <col min="537" max="537" width="37.5703125" style="10" customWidth="1"/>
    <col min="538" max="759" width="11.42578125" style="10"/>
    <col min="760" max="760" width="10.5703125" style="10" customWidth="1"/>
    <col min="761" max="761" width="4.85546875" style="10" customWidth="1"/>
    <col min="762" max="762" width="32.42578125" style="10" customWidth="1"/>
    <col min="763" max="763" width="9.85546875" style="10" customWidth="1"/>
    <col min="764" max="764" width="10.140625" style="10" customWidth="1"/>
    <col min="765" max="765" width="12.28515625" style="10" customWidth="1"/>
    <col min="766" max="766" width="15.42578125" style="10" customWidth="1"/>
    <col min="767" max="767" width="11.85546875" style="10" customWidth="1"/>
    <col min="768" max="768" width="13.28515625" style="10" customWidth="1"/>
    <col min="769" max="769" width="15.28515625" style="10" customWidth="1"/>
    <col min="770" max="770" width="11.85546875" style="10" customWidth="1"/>
    <col min="771" max="771" width="6.140625" style="10" customWidth="1"/>
    <col min="772" max="772" width="11.85546875" style="10" customWidth="1"/>
    <col min="773" max="773" width="9.42578125" style="10" customWidth="1"/>
    <col min="774" max="774" width="14.7109375" style="10" customWidth="1"/>
    <col min="775" max="775" width="11.5703125" style="10" customWidth="1"/>
    <col min="776" max="776" width="0.42578125" style="10" customWidth="1"/>
    <col min="777" max="777" width="10.5703125" style="10" bestFit="1" customWidth="1"/>
    <col min="778" max="778" width="12.28515625" style="10" customWidth="1"/>
    <col min="779" max="779" width="12.5703125" style="10" customWidth="1"/>
    <col min="780" max="780" width="10.5703125" style="10" customWidth="1"/>
    <col min="781" max="781" width="10.140625" style="10" customWidth="1"/>
    <col min="782" max="782" width="8.42578125" style="10" customWidth="1"/>
    <col min="783" max="783" width="18.85546875" style="10" customWidth="1"/>
    <col min="784" max="784" width="10.28515625" style="10" customWidth="1"/>
    <col min="785" max="785" width="11.42578125" style="10"/>
    <col min="786" max="786" width="12.140625" style="10" customWidth="1"/>
    <col min="787" max="787" width="10.5703125" style="10" customWidth="1"/>
    <col min="788" max="788" width="12.42578125" style="10" customWidth="1"/>
    <col min="789" max="789" width="15.140625" style="10" customWidth="1"/>
    <col min="790" max="790" width="13.5703125" style="10" customWidth="1"/>
    <col min="791" max="791" width="13.140625" style="10" customWidth="1"/>
    <col min="792" max="792" width="15.7109375" style="10" customWidth="1"/>
    <col min="793" max="793" width="37.5703125" style="10" customWidth="1"/>
    <col min="794" max="1015" width="11.42578125" style="10"/>
    <col min="1016" max="1016" width="10.5703125" style="10" customWidth="1"/>
    <col min="1017" max="1017" width="4.85546875" style="10" customWidth="1"/>
    <col min="1018" max="1018" width="32.42578125" style="10" customWidth="1"/>
    <col min="1019" max="1019" width="9.85546875" style="10" customWidth="1"/>
    <col min="1020" max="1020" width="10.140625" style="10" customWidth="1"/>
    <col min="1021" max="1021" width="12.28515625" style="10" customWidth="1"/>
    <col min="1022" max="1022" width="15.42578125" style="10" customWidth="1"/>
    <col min="1023" max="1023" width="11.85546875" style="10" customWidth="1"/>
    <col min="1024" max="1024" width="13.28515625" style="10" customWidth="1"/>
    <col min="1025" max="1025" width="15.28515625" style="10" customWidth="1"/>
    <col min="1026" max="1026" width="11.85546875" style="10" customWidth="1"/>
    <col min="1027" max="1027" width="6.140625" style="10" customWidth="1"/>
    <col min="1028" max="1028" width="11.85546875" style="10" customWidth="1"/>
    <col min="1029" max="1029" width="9.42578125" style="10" customWidth="1"/>
    <col min="1030" max="1030" width="14.7109375" style="10" customWidth="1"/>
    <col min="1031" max="1031" width="11.5703125" style="10" customWidth="1"/>
    <col min="1032" max="1032" width="0.42578125" style="10" customWidth="1"/>
    <col min="1033" max="1033" width="10.5703125" style="10" bestFit="1" customWidth="1"/>
    <col min="1034" max="1034" width="12.28515625" style="10" customWidth="1"/>
    <col min="1035" max="1035" width="12.5703125" style="10" customWidth="1"/>
    <col min="1036" max="1036" width="10.5703125" style="10" customWidth="1"/>
    <col min="1037" max="1037" width="10.140625" style="10" customWidth="1"/>
    <col min="1038" max="1038" width="8.42578125" style="10" customWidth="1"/>
    <col min="1039" max="1039" width="18.85546875" style="10" customWidth="1"/>
    <col min="1040" max="1040" width="10.28515625" style="10" customWidth="1"/>
    <col min="1041" max="1041" width="11.42578125" style="10"/>
    <col min="1042" max="1042" width="12.140625" style="10" customWidth="1"/>
    <col min="1043" max="1043" width="10.5703125" style="10" customWidth="1"/>
    <col min="1044" max="1044" width="12.42578125" style="10" customWidth="1"/>
    <col min="1045" max="1045" width="15.140625" style="10" customWidth="1"/>
    <col min="1046" max="1046" width="13.5703125" style="10" customWidth="1"/>
    <col min="1047" max="1047" width="13.140625" style="10" customWidth="1"/>
    <col min="1048" max="1048" width="15.7109375" style="10" customWidth="1"/>
    <col min="1049" max="1049" width="37.5703125" style="10" customWidth="1"/>
    <col min="1050" max="1271" width="11.42578125" style="10"/>
    <col min="1272" max="1272" width="10.5703125" style="10" customWidth="1"/>
    <col min="1273" max="1273" width="4.85546875" style="10" customWidth="1"/>
    <col min="1274" max="1274" width="32.42578125" style="10" customWidth="1"/>
    <col min="1275" max="1275" width="9.85546875" style="10" customWidth="1"/>
    <col min="1276" max="1276" width="10.140625" style="10" customWidth="1"/>
    <col min="1277" max="1277" width="12.28515625" style="10" customWidth="1"/>
    <col min="1278" max="1278" width="15.42578125" style="10" customWidth="1"/>
    <col min="1279" max="1279" width="11.85546875" style="10" customWidth="1"/>
    <col min="1280" max="1280" width="13.28515625" style="10" customWidth="1"/>
    <col min="1281" max="1281" width="15.28515625" style="10" customWidth="1"/>
    <col min="1282" max="1282" width="11.85546875" style="10" customWidth="1"/>
    <col min="1283" max="1283" width="6.140625" style="10" customWidth="1"/>
    <col min="1284" max="1284" width="11.85546875" style="10" customWidth="1"/>
    <col min="1285" max="1285" width="9.42578125" style="10" customWidth="1"/>
    <col min="1286" max="1286" width="14.7109375" style="10" customWidth="1"/>
    <col min="1287" max="1287" width="11.5703125" style="10" customWidth="1"/>
    <col min="1288" max="1288" width="0.42578125" style="10" customWidth="1"/>
    <col min="1289" max="1289" width="10.5703125" style="10" bestFit="1" customWidth="1"/>
    <col min="1290" max="1290" width="12.28515625" style="10" customWidth="1"/>
    <col min="1291" max="1291" width="12.5703125" style="10" customWidth="1"/>
    <col min="1292" max="1292" width="10.5703125" style="10" customWidth="1"/>
    <col min="1293" max="1293" width="10.140625" style="10" customWidth="1"/>
    <col min="1294" max="1294" width="8.42578125" style="10" customWidth="1"/>
    <col min="1295" max="1295" width="18.85546875" style="10" customWidth="1"/>
    <col min="1296" max="1296" width="10.28515625" style="10" customWidth="1"/>
    <col min="1297" max="1297" width="11.42578125" style="10"/>
    <col min="1298" max="1298" width="12.140625" style="10" customWidth="1"/>
    <col min="1299" max="1299" width="10.5703125" style="10" customWidth="1"/>
    <col min="1300" max="1300" width="12.42578125" style="10" customWidth="1"/>
    <col min="1301" max="1301" width="15.140625" style="10" customWidth="1"/>
    <col min="1302" max="1302" width="13.5703125" style="10" customWidth="1"/>
    <col min="1303" max="1303" width="13.140625" style="10" customWidth="1"/>
    <col min="1304" max="1304" width="15.7109375" style="10" customWidth="1"/>
    <col min="1305" max="1305" width="37.5703125" style="10" customWidth="1"/>
    <col min="1306" max="1527" width="11.42578125" style="10"/>
    <col min="1528" max="1528" width="10.5703125" style="10" customWidth="1"/>
    <col min="1529" max="1529" width="4.85546875" style="10" customWidth="1"/>
    <col min="1530" max="1530" width="32.42578125" style="10" customWidth="1"/>
    <col min="1531" max="1531" width="9.85546875" style="10" customWidth="1"/>
    <col min="1532" max="1532" width="10.140625" style="10" customWidth="1"/>
    <col min="1533" max="1533" width="12.28515625" style="10" customWidth="1"/>
    <col min="1534" max="1534" width="15.42578125" style="10" customWidth="1"/>
    <col min="1535" max="1535" width="11.85546875" style="10" customWidth="1"/>
    <col min="1536" max="1536" width="13.28515625" style="10" customWidth="1"/>
    <col min="1537" max="1537" width="15.28515625" style="10" customWidth="1"/>
    <col min="1538" max="1538" width="11.85546875" style="10" customWidth="1"/>
    <col min="1539" max="1539" width="6.140625" style="10" customWidth="1"/>
    <col min="1540" max="1540" width="11.85546875" style="10" customWidth="1"/>
    <col min="1541" max="1541" width="9.42578125" style="10" customWidth="1"/>
    <col min="1542" max="1542" width="14.7109375" style="10" customWidth="1"/>
    <col min="1543" max="1543" width="11.5703125" style="10" customWidth="1"/>
    <col min="1544" max="1544" width="0.42578125" style="10" customWidth="1"/>
    <col min="1545" max="1545" width="10.5703125" style="10" bestFit="1" customWidth="1"/>
    <col min="1546" max="1546" width="12.28515625" style="10" customWidth="1"/>
    <col min="1547" max="1547" width="12.5703125" style="10" customWidth="1"/>
    <col min="1548" max="1548" width="10.5703125" style="10" customWidth="1"/>
    <col min="1549" max="1549" width="10.140625" style="10" customWidth="1"/>
    <col min="1550" max="1550" width="8.42578125" style="10" customWidth="1"/>
    <col min="1551" max="1551" width="18.85546875" style="10" customWidth="1"/>
    <col min="1552" max="1552" width="10.28515625" style="10" customWidth="1"/>
    <col min="1553" max="1553" width="11.42578125" style="10"/>
    <col min="1554" max="1554" width="12.140625" style="10" customWidth="1"/>
    <col min="1555" max="1555" width="10.5703125" style="10" customWidth="1"/>
    <col min="1556" max="1556" width="12.42578125" style="10" customWidth="1"/>
    <col min="1557" max="1557" width="15.140625" style="10" customWidth="1"/>
    <col min="1558" max="1558" width="13.5703125" style="10" customWidth="1"/>
    <col min="1559" max="1559" width="13.140625" style="10" customWidth="1"/>
    <col min="1560" max="1560" width="15.7109375" style="10" customWidth="1"/>
    <col min="1561" max="1561" width="37.5703125" style="10" customWidth="1"/>
    <col min="1562" max="1783" width="11.42578125" style="10"/>
    <col min="1784" max="1784" width="10.5703125" style="10" customWidth="1"/>
    <col min="1785" max="1785" width="4.85546875" style="10" customWidth="1"/>
    <col min="1786" max="1786" width="32.42578125" style="10" customWidth="1"/>
    <col min="1787" max="1787" width="9.85546875" style="10" customWidth="1"/>
    <col min="1788" max="1788" width="10.140625" style="10" customWidth="1"/>
    <col min="1789" max="1789" width="12.28515625" style="10" customWidth="1"/>
    <col min="1790" max="1790" width="15.42578125" style="10" customWidth="1"/>
    <col min="1791" max="1791" width="11.85546875" style="10" customWidth="1"/>
    <col min="1792" max="1792" width="13.28515625" style="10" customWidth="1"/>
    <col min="1793" max="1793" width="15.28515625" style="10" customWidth="1"/>
    <col min="1794" max="1794" width="11.85546875" style="10" customWidth="1"/>
    <col min="1795" max="1795" width="6.140625" style="10" customWidth="1"/>
    <col min="1796" max="1796" width="11.85546875" style="10" customWidth="1"/>
    <col min="1797" max="1797" width="9.42578125" style="10" customWidth="1"/>
    <col min="1798" max="1798" width="14.7109375" style="10" customWidth="1"/>
    <col min="1799" max="1799" width="11.5703125" style="10" customWidth="1"/>
    <col min="1800" max="1800" width="0.42578125" style="10" customWidth="1"/>
    <col min="1801" max="1801" width="10.5703125" style="10" bestFit="1" customWidth="1"/>
    <col min="1802" max="1802" width="12.28515625" style="10" customWidth="1"/>
    <col min="1803" max="1803" width="12.5703125" style="10" customWidth="1"/>
    <col min="1804" max="1804" width="10.5703125" style="10" customWidth="1"/>
    <col min="1805" max="1805" width="10.140625" style="10" customWidth="1"/>
    <col min="1806" max="1806" width="8.42578125" style="10" customWidth="1"/>
    <col min="1807" max="1807" width="18.85546875" style="10" customWidth="1"/>
    <col min="1808" max="1808" width="10.28515625" style="10" customWidth="1"/>
    <col min="1809" max="1809" width="11.42578125" style="10"/>
    <col min="1810" max="1810" width="12.140625" style="10" customWidth="1"/>
    <col min="1811" max="1811" width="10.5703125" style="10" customWidth="1"/>
    <col min="1812" max="1812" width="12.42578125" style="10" customWidth="1"/>
    <col min="1813" max="1813" width="15.140625" style="10" customWidth="1"/>
    <col min="1814" max="1814" width="13.5703125" style="10" customWidth="1"/>
    <col min="1815" max="1815" width="13.140625" style="10" customWidth="1"/>
    <col min="1816" max="1816" width="15.7109375" style="10" customWidth="1"/>
    <col min="1817" max="1817" width="37.5703125" style="10" customWidth="1"/>
    <col min="1818" max="2039" width="11.42578125" style="10"/>
    <col min="2040" max="2040" width="10.5703125" style="10" customWidth="1"/>
    <col min="2041" max="2041" width="4.85546875" style="10" customWidth="1"/>
    <col min="2042" max="2042" width="32.42578125" style="10" customWidth="1"/>
    <col min="2043" max="2043" width="9.85546875" style="10" customWidth="1"/>
    <col min="2044" max="2044" width="10.140625" style="10" customWidth="1"/>
    <col min="2045" max="2045" width="12.28515625" style="10" customWidth="1"/>
    <col min="2046" max="2046" width="15.42578125" style="10" customWidth="1"/>
    <col min="2047" max="2047" width="11.85546875" style="10" customWidth="1"/>
    <col min="2048" max="2048" width="13.28515625" style="10" customWidth="1"/>
    <col min="2049" max="2049" width="15.28515625" style="10" customWidth="1"/>
    <col min="2050" max="2050" width="11.85546875" style="10" customWidth="1"/>
    <col min="2051" max="2051" width="6.140625" style="10" customWidth="1"/>
    <col min="2052" max="2052" width="11.85546875" style="10" customWidth="1"/>
    <col min="2053" max="2053" width="9.42578125" style="10" customWidth="1"/>
    <col min="2054" max="2054" width="14.7109375" style="10" customWidth="1"/>
    <col min="2055" max="2055" width="11.5703125" style="10" customWidth="1"/>
    <col min="2056" max="2056" width="0.42578125" style="10" customWidth="1"/>
    <col min="2057" max="2057" width="10.5703125" style="10" bestFit="1" customWidth="1"/>
    <col min="2058" max="2058" width="12.28515625" style="10" customWidth="1"/>
    <col min="2059" max="2059" width="12.5703125" style="10" customWidth="1"/>
    <col min="2060" max="2060" width="10.5703125" style="10" customWidth="1"/>
    <col min="2061" max="2061" width="10.140625" style="10" customWidth="1"/>
    <col min="2062" max="2062" width="8.42578125" style="10" customWidth="1"/>
    <col min="2063" max="2063" width="18.85546875" style="10" customWidth="1"/>
    <col min="2064" max="2064" width="10.28515625" style="10" customWidth="1"/>
    <col min="2065" max="2065" width="11.42578125" style="10"/>
    <col min="2066" max="2066" width="12.140625" style="10" customWidth="1"/>
    <col min="2067" max="2067" width="10.5703125" style="10" customWidth="1"/>
    <col min="2068" max="2068" width="12.42578125" style="10" customWidth="1"/>
    <col min="2069" max="2069" width="15.140625" style="10" customWidth="1"/>
    <col min="2070" max="2070" width="13.5703125" style="10" customWidth="1"/>
    <col min="2071" max="2071" width="13.140625" style="10" customWidth="1"/>
    <col min="2072" max="2072" width="15.7109375" style="10" customWidth="1"/>
    <col min="2073" max="2073" width="37.5703125" style="10" customWidth="1"/>
    <col min="2074" max="2295" width="11.42578125" style="10"/>
    <col min="2296" max="2296" width="10.5703125" style="10" customWidth="1"/>
    <col min="2297" max="2297" width="4.85546875" style="10" customWidth="1"/>
    <col min="2298" max="2298" width="32.42578125" style="10" customWidth="1"/>
    <col min="2299" max="2299" width="9.85546875" style="10" customWidth="1"/>
    <col min="2300" max="2300" width="10.140625" style="10" customWidth="1"/>
    <col min="2301" max="2301" width="12.28515625" style="10" customWidth="1"/>
    <col min="2302" max="2302" width="15.42578125" style="10" customWidth="1"/>
    <col min="2303" max="2303" width="11.85546875" style="10" customWidth="1"/>
    <col min="2304" max="2304" width="13.28515625" style="10" customWidth="1"/>
    <col min="2305" max="2305" width="15.28515625" style="10" customWidth="1"/>
    <col min="2306" max="2306" width="11.85546875" style="10" customWidth="1"/>
    <col min="2307" max="2307" width="6.140625" style="10" customWidth="1"/>
    <col min="2308" max="2308" width="11.85546875" style="10" customWidth="1"/>
    <col min="2309" max="2309" width="9.42578125" style="10" customWidth="1"/>
    <col min="2310" max="2310" width="14.7109375" style="10" customWidth="1"/>
    <col min="2311" max="2311" width="11.5703125" style="10" customWidth="1"/>
    <col min="2312" max="2312" width="0.42578125" style="10" customWidth="1"/>
    <col min="2313" max="2313" width="10.5703125" style="10" bestFit="1" customWidth="1"/>
    <col min="2314" max="2314" width="12.28515625" style="10" customWidth="1"/>
    <col min="2315" max="2315" width="12.5703125" style="10" customWidth="1"/>
    <col min="2316" max="2316" width="10.5703125" style="10" customWidth="1"/>
    <col min="2317" max="2317" width="10.140625" style="10" customWidth="1"/>
    <col min="2318" max="2318" width="8.42578125" style="10" customWidth="1"/>
    <col min="2319" max="2319" width="18.85546875" style="10" customWidth="1"/>
    <col min="2320" max="2320" width="10.28515625" style="10" customWidth="1"/>
    <col min="2321" max="2321" width="11.42578125" style="10"/>
    <col min="2322" max="2322" width="12.140625" style="10" customWidth="1"/>
    <col min="2323" max="2323" width="10.5703125" style="10" customWidth="1"/>
    <col min="2324" max="2324" width="12.42578125" style="10" customWidth="1"/>
    <col min="2325" max="2325" width="15.140625" style="10" customWidth="1"/>
    <col min="2326" max="2326" width="13.5703125" style="10" customWidth="1"/>
    <col min="2327" max="2327" width="13.140625" style="10" customWidth="1"/>
    <col min="2328" max="2328" width="15.7109375" style="10" customWidth="1"/>
    <col min="2329" max="2329" width="37.5703125" style="10" customWidth="1"/>
    <col min="2330" max="2551" width="11.42578125" style="10"/>
    <col min="2552" max="2552" width="10.5703125" style="10" customWidth="1"/>
    <col min="2553" max="2553" width="4.85546875" style="10" customWidth="1"/>
    <col min="2554" max="2554" width="32.42578125" style="10" customWidth="1"/>
    <col min="2555" max="2555" width="9.85546875" style="10" customWidth="1"/>
    <col min="2556" max="2556" width="10.140625" style="10" customWidth="1"/>
    <col min="2557" max="2557" width="12.28515625" style="10" customWidth="1"/>
    <col min="2558" max="2558" width="15.42578125" style="10" customWidth="1"/>
    <col min="2559" max="2559" width="11.85546875" style="10" customWidth="1"/>
    <col min="2560" max="2560" width="13.28515625" style="10" customWidth="1"/>
    <col min="2561" max="2561" width="15.28515625" style="10" customWidth="1"/>
    <col min="2562" max="2562" width="11.85546875" style="10" customWidth="1"/>
    <col min="2563" max="2563" width="6.140625" style="10" customWidth="1"/>
    <col min="2564" max="2564" width="11.85546875" style="10" customWidth="1"/>
    <col min="2565" max="2565" width="9.42578125" style="10" customWidth="1"/>
    <col min="2566" max="2566" width="14.7109375" style="10" customWidth="1"/>
    <col min="2567" max="2567" width="11.5703125" style="10" customWidth="1"/>
    <col min="2568" max="2568" width="0.42578125" style="10" customWidth="1"/>
    <col min="2569" max="2569" width="10.5703125" style="10" bestFit="1" customWidth="1"/>
    <col min="2570" max="2570" width="12.28515625" style="10" customWidth="1"/>
    <col min="2571" max="2571" width="12.5703125" style="10" customWidth="1"/>
    <col min="2572" max="2572" width="10.5703125" style="10" customWidth="1"/>
    <col min="2573" max="2573" width="10.140625" style="10" customWidth="1"/>
    <col min="2574" max="2574" width="8.42578125" style="10" customWidth="1"/>
    <col min="2575" max="2575" width="18.85546875" style="10" customWidth="1"/>
    <col min="2576" max="2576" width="10.28515625" style="10" customWidth="1"/>
    <col min="2577" max="2577" width="11.42578125" style="10"/>
    <col min="2578" max="2578" width="12.140625" style="10" customWidth="1"/>
    <col min="2579" max="2579" width="10.5703125" style="10" customWidth="1"/>
    <col min="2580" max="2580" width="12.42578125" style="10" customWidth="1"/>
    <col min="2581" max="2581" width="15.140625" style="10" customWidth="1"/>
    <col min="2582" max="2582" width="13.5703125" style="10" customWidth="1"/>
    <col min="2583" max="2583" width="13.140625" style="10" customWidth="1"/>
    <col min="2584" max="2584" width="15.7109375" style="10" customWidth="1"/>
    <col min="2585" max="2585" width="37.5703125" style="10" customWidth="1"/>
    <col min="2586" max="2807" width="11.42578125" style="10"/>
    <col min="2808" max="2808" width="10.5703125" style="10" customWidth="1"/>
    <col min="2809" max="2809" width="4.85546875" style="10" customWidth="1"/>
    <col min="2810" max="2810" width="32.42578125" style="10" customWidth="1"/>
    <col min="2811" max="2811" width="9.85546875" style="10" customWidth="1"/>
    <col min="2812" max="2812" width="10.140625" style="10" customWidth="1"/>
    <col min="2813" max="2813" width="12.28515625" style="10" customWidth="1"/>
    <col min="2814" max="2814" width="15.42578125" style="10" customWidth="1"/>
    <col min="2815" max="2815" width="11.85546875" style="10" customWidth="1"/>
    <col min="2816" max="2816" width="13.28515625" style="10" customWidth="1"/>
    <col min="2817" max="2817" width="15.28515625" style="10" customWidth="1"/>
    <col min="2818" max="2818" width="11.85546875" style="10" customWidth="1"/>
    <col min="2819" max="2819" width="6.140625" style="10" customWidth="1"/>
    <col min="2820" max="2820" width="11.85546875" style="10" customWidth="1"/>
    <col min="2821" max="2821" width="9.42578125" style="10" customWidth="1"/>
    <col min="2822" max="2822" width="14.7109375" style="10" customWidth="1"/>
    <col min="2823" max="2823" width="11.5703125" style="10" customWidth="1"/>
    <col min="2824" max="2824" width="0.42578125" style="10" customWidth="1"/>
    <col min="2825" max="2825" width="10.5703125" style="10" bestFit="1" customWidth="1"/>
    <col min="2826" max="2826" width="12.28515625" style="10" customWidth="1"/>
    <col min="2827" max="2827" width="12.5703125" style="10" customWidth="1"/>
    <col min="2828" max="2828" width="10.5703125" style="10" customWidth="1"/>
    <col min="2829" max="2829" width="10.140625" style="10" customWidth="1"/>
    <col min="2830" max="2830" width="8.42578125" style="10" customWidth="1"/>
    <col min="2831" max="2831" width="18.85546875" style="10" customWidth="1"/>
    <col min="2832" max="2832" width="10.28515625" style="10" customWidth="1"/>
    <col min="2833" max="2833" width="11.42578125" style="10"/>
    <col min="2834" max="2834" width="12.140625" style="10" customWidth="1"/>
    <col min="2835" max="2835" width="10.5703125" style="10" customWidth="1"/>
    <col min="2836" max="2836" width="12.42578125" style="10" customWidth="1"/>
    <col min="2837" max="2837" width="15.140625" style="10" customWidth="1"/>
    <col min="2838" max="2838" width="13.5703125" style="10" customWidth="1"/>
    <col min="2839" max="2839" width="13.140625" style="10" customWidth="1"/>
    <col min="2840" max="2840" width="15.7109375" style="10" customWidth="1"/>
    <col min="2841" max="2841" width="37.5703125" style="10" customWidth="1"/>
    <col min="2842" max="3063" width="11.42578125" style="10"/>
    <col min="3064" max="3064" width="10.5703125" style="10" customWidth="1"/>
    <col min="3065" max="3065" width="4.85546875" style="10" customWidth="1"/>
    <col min="3066" max="3066" width="32.42578125" style="10" customWidth="1"/>
    <col min="3067" max="3067" width="9.85546875" style="10" customWidth="1"/>
    <col min="3068" max="3068" width="10.140625" style="10" customWidth="1"/>
    <col min="3069" max="3069" width="12.28515625" style="10" customWidth="1"/>
    <col min="3070" max="3070" width="15.42578125" style="10" customWidth="1"/>
    <col min="3071" max="3071" width="11.85546875" style="10" customWidth="1"/>
    <col min="3072" max="3072" width="13.28515625" style="10" customWidth="1"/>
    <col min="3073" max="3073" width="15.28515625" style="10" customWidth="1"/>
    <col min="3074" max="3074" width="11.85546875" style="10" customWidth="1"/>
    <col min="3075" max="3075" width="6.140625" style="10" customWidth="1"/>
    <col min="3076" max="3076" width="11.85546875" style="10" customWidth="1"/>
    <col min="3077" max="3077" width="9.42578125" style="10" customWidth="1"/>
    <col min="3078" max="3078" width="14.7109375" style="10" customWidth="1"/>
    <col min="3079" max="3079" width="11.5703125" style="10" customWidth="1"/>
    <col min="3080" max="3080" width="0.42578125" style="10" customWidth="1"/>
    <col min="3081" max="3081" width="10.5703125" style="10" bestFit="1" customWidth="1"/>
    <col min="3082" max="3082" width="12.28515625" style="10" customWidth="1"/>
    <col min="3083" max="3083" width="12.5703125" style="10" customWidth="1"/>
    <col min="3084" max="3084" width="10.5703125" style="10" customWidth="1"/>
    <col min="3085" max="3085" width="10.140625" style="10" customWidth="1"/>
    <col min="3086" max="3086" width="8.42578125" style="10" customWidth="1"/>
    <col min="3087" max="3087" width="18.85546875" style="10" customWidth="1"/>
    <col min="3088" max="3088" width="10.28515625" style="10" customWidth="1"/>
    <col min="3089" max="3089" width="11.42578125" style="10"/>
    <col min="3090" max="3090" width="12.140625" style="10" customWidth="1"/>
    <col min="3091" max="3091" width="10.5703125" style="10" customWidth="1"/>
    <col min="3092" max="3092" width="12.42578125" style="10" customWidth="1"/>
    <col min="3093" max="3093" width="15.140625" style="10" customWidth="1"/>
    <col min="3094" max="3094" width="13.5703125" style="10" customWidth="1"/>
    <col min="3095" max="3095" width="13.140625" style="10" customWidth="1"/>
    <col min="3096" max="3096" width="15.7109375" style="10" customWidth="1"/>
    <col min="3097" max="3097" width="37.5703125" style="10" customWidth="1"/>
    <col min="3098" max="3319" width="11.42578125" style="10"/>
    <col min="3320" max="3320" width="10.5703125" style="10" customWidth="1"/>
    <col min="3321" max="3321" width="4.85546875" style="10" customWidth="1"/>
    <col min="3322" max="3322" width="32.42578125" style="10" customWidth="1"/>
    <col min="3323" max="3323" width="9.85546875" style="10" customWidth="1"/>
    <col min="3324" max="3324" width="10.140625" style="10" customWidth="1"/>
    <col min="3325" max="3325" width="12.28515625" style="10" customWidth="1"/>
    <col min="3326" max="3326" width="15.42578125" style="10" customWidth="1"/>
    <col min="3327" max="3327" width="11.85546875" style="10" customWidth="1"/>
    <col min="3328" max="3328" width="13.28515625" style="10" customWidth="1"/>
    <col min="3329" max="3329" width="15.28515625" style="10" customWidth="1"/>
    <col min="3330" max="3330" width="11.85546875" style="10" customWidth="1"/>
    <col min="3331" max="3331" width="6.140625" style="10" customWidth="1"/>
    <col min="3332" max="3332" width="11.85546875" style="10" customWidth="1"/>
    <col min="3333" max="3333" width="9.42578125" style="10" customWidth="1"/>
    <col min="3334" max="3334" width="14.7109375" style="10" customWidth="1"/>
    <col min="3335" max="3335" width="11.5703125" style="10" customWidth="1"/>
    <col min="3336" max="3336" width="0.42578125" style="10" customWidth="1"/>
    <col min="3337" max="3337" width="10.5703125" style="10" bestFit="1" customWidth="1"/>
    <col min="3338" max="3338" width="12.28515625" style="10" customWidth="1"/>
    <col min="3339" max="3339" width="12.5703125" style="10" customWidth="1"/>
    <col min="3340" max="3340" width="10.5703125" style="10" customWidth="1"/>
    <col min="3341" max="3341" width="10.140625" style="10" customWidth="1"/>
    <col min="3342" max="3342" width="8.42578125" style="10" customWidth="1"/>
    <col min="3343" max="3343" width="18.85546875" style="10" customWidth="1"/>
    <col min="3344" max="3344" width="10.28515625" style="10" customWidth="1"/>
    <col min="3345" max="3345" width="11.42578125" style="10"/>
    <col min="3346" max="3346" width="12.140625" style="10" customWidth="1"/>
    <col min="3347" max="3347" width="10.5703125" style="10" customWidth="1"/>
    <col min="3348" max="3348" width="12.42578125" style="10" customWidth="1"/>
    <col min="3349" max="3349" width="15.140625" style="10" customWidth="1"/>
    <col min="3350" max="3350" width="13.5703125" style="10" customWidth="1"/>
    <col min="3351" max="3351" width="13.140625" style="10" customWidth="1"/>
    <col min="3352" max="3352" width="15.7109375" style="10" customWidth="1"/>
    <col min="3353" max="3353" width="37.5703125" style="10" customWidth="1"/>
    <col min="3354" max="3575" width="11.42578125" style="10"/>
    <col min="3576" max="3576" width="10.5703125" style="10" customWidth="1"/>
    <col min="3577" max="3577" width="4.85546875" style="10" customWidth="1"/>
    <col min="3578" max="3578" width="32.42578125" style="10" customWidth="1"/>
    <col min="3579" max="3579" width="9.85546875" style="10" customWidth="1"/>
    <col min="3580" max="3580" width="10.140625" style="10" customWidth="1"/>
    <col min="3581" max="3581" width="12.28515625" style="10" customWidth="1"/>
    <col min="3582" max="3582" width="15.42578125" style="10" customWidth="1"/>
    <col min="3583" max="3583" width="11.85546875" style="10" customWidth="1"/>
    <col min="3584" max="3584" width="13.28515625" style="10" customWidth="1"/>
    <col min="3585" max="3585" width="15.28515625" style="10" customWidth="1"/>
    <col min="3586" max="3586" width="11.85546875" style="10" customWidth="1"/>
    <col min="3587" max="3587" width="6.140625" style="10" customWidth="1"/>
    <col min="3588" max="3588" width="11.85546875" style="10" customWidth="1"/>
    <col min="3589" max="3589" width="9.42578125" style="10" customWidth="1"/>
    <col min="3590" max="3590" width="14.7109375" style="10" customWidth="1"/>
    <col min="3591" max="3591" width="11.5703125" style="10" customWidth="1"/>
    <col min="3592" max="3592" width="0.42578125" style="10" customWidth="1"/>
    <col min="3593" max="3593" width="10.5703125" style="10" bestFit="1" customWidth="1"/>
    <col min="3594" max="3594" width="12.28515625" style="10" customWidth="1"/>
    <col min="3595" max="3595" width="12.5703125" style="10" customWidth="1"/>
    <col min="3596" max="3596" width="10.5703125" style="10" customWidth="1"/>
    <col min="3597" max="3597" width="10.140625" style="10" customWidth="1"/>
    <col min="3598" max="3598" width="8.42578125" style="10" customWidth="1"/>
    <col min="3599" max="3599" width="18.85546875" style="10" customWidth="1"/>
    <col min="3600" max="3600" width="10.28515625" style="10" customWidth="1"/>
    <col min="3601" max="3601" width="11.42578125" style="10"/>
    <col min="3602" max="3602" width="12.140625" style="10" customWidth="1"/>
    <col min="3603" max="3603" width="10.5703125" style="10" customWidth="1"/>
    <col min="3604" max="3604" width="12.42578125" style="10" customWidth="1"/>
    <col min="3605" max="3605" width="15.140625" style="10" customWidth="1"/>
    <col min="3606" max="3606" width="13.5703125" style="10" customWidth="1"/>
    <col min="3607" max="3607" width="13.140625" style="10" customWidth="1"/>
    <col min="3608" max="3608" width="15.7109375" style="10" customWidth="1"/>
    <col min="3609" max="3609" width="37.5703125" style="10" customWidth="1"/>
    <col min="3610" max="3831" width="11.42578125" style="10"/>
    <col min="3832" max="3832" width="10.5703125" style="10" customWidth="1"/>
    <col min="3833" max="3833" width="4.85546875" style="10" customWidth="1"/>
    <col min="3834" max="3834" width="32.42578125" style="10" customWidth="1"/>
    <col min="3835" max="3835" width="9.85546875" style="10" customWidth="1"/>
    <col min="3836" max="3836" width="10.140625" style="10" customWidth="1"/>
    <col min="3837" max="3837" width="12.28515625" style="10" customWidth="1"/>
    <col min="3838" max="3838" width="15.42578125" style="10" customWidth="1"/>
    <col min="3839" max="3839" width="11.85546875" style="10" customWidth="1"/>
    <col min="3840" max="3840" width="13.28515625" style="10" customWidth="1"/>
    <col min="3841" max="3841" width="15.28515625" style="10" customWidth="1"/>
    <col min="3842" max="3842" width="11.85546875" style="10" customWidth="1"/>
    <col min="3843" max="3843" width="6.140625" style="10" customWidth="1"/>
    <col min="3844" max="3844" width="11.85546875" style="10" customWidth="1"/>
    <col min="3845" max="3845" width="9.42578125" style="10" customWidth="1"/>
    <col min="3846" max="3846" width="14.7109375" style="10" customWidth="1"/>
    <col min="3847" max="3847" width="11.5703125" style="10" customWidth="1"/>
    <col min="3848" max="3848" width="0.42578125" style="10" customWidth="1"/>
    <col min="3849" max="3849" width="10.5703125" style="10" bestFit="1" customWidth="1"/>
    <col min="3850" max="3850" width="12.28515625" style="10" customWidth="1"/>
    <col min="3851" max="3851" width="12.5703125" style="10" customWidth="1"/>
    <col min="3852" max="3852" width="10.5703125" style="10" customWidth="1"/>
    <col min="3853" max="3853" width="10.140625" style="10" customWidth="1"/>
    <col min="3854" max="3854" width="8.42578125" style="10" customWidth="1"/>
    <col min="3855" max="3855" width="18.85546875" style="10" customWidth="1"/>
    <col min="3856" max="3856" width="10.28515625" style="10" customWidth="1"/>
    <col min="3857" max="3857" width="11.42578125" style="10"/>
    <col min="3858" max="3858" width="12.140625" style="10" customWidth="1"/>
    <col min="3859" max="3859" width="10.5703125" style="10" customWidth="1"/>
    <col min="3860" max="3860" width="12.42578125" style="10" customWidth="1"/>
    <col min="3861" max="3861" width="15.140625" style="10" customWidth="1"/>
    <col min="3862" max="3862" width="13.5703125" style="10" customWidth="1"/>
    <col min="3863" max="3863" width="13.140625" style="10" customWidth="1"/>
    <col min="3864" max="3864" width="15.7109375" style="10" customWidth="1"/>
    <col min="3865" max="3865" width="37.5703125" style="10" customWidth="1"/>
    <col min="3866" max="4087" width="11.42578125" style="10"/>
    <col min="4088" max="4088" width="10.5703125" style="10" customWidth="1"/>
    <col min="4089" max="4089" width="4.85546875" style="10" customWidth="1"/>
    <col min="4090" max="4090" width="32.42578125" style="10" customWidth="1"/>
    <col min="4091" max="4091" width="9.85546875" style="10" customWidth="1"/>
    <col min="4092" max="4092" width="10.140625" style="10" customWidth="1"/>
    <col min="4093" max="4093" width="12.28515625" style="10" customWidth="1"/>
    <col min="4094" max="4094" width="15.42578125" style="10" customWidth="1"/>
    <col min="4095" max="4095" width="11.85546875" style="10" customWidth="1"/>
    <col min="4096" max="4096" width="13.28515625" style="10" customWidth="1"/>
    <col min="4097" max="4097" width="15.28515625" style="10" customWidth="1"/>
    <col min="4098" max="4098" width="11.85546875" style="10" customWidth="1"/>
    <col min="4099" max="4099" width="6.140625" style="10" customWidth="1"/>
    <col min="4100" max="4100" width="11.85546875" style="10" customWidth="1"/>
    <col min="4101" max="4101" width="9.42578125" style="10" customWidth="1"/>
    <col min="4102" max="4102" width="14.7109375" style="10" customWidth="1"/>
    <col min="4103" max="4103" width="11.5703125" style="10" customWidth="1"/>
    <col min="4104" max="4104" width="0.42578125" style="10" customWidth="1"/>
    <col min="4105" max="4105" width="10.5703125" style="10" bestFit="1" customWidth="1"/>
    <col min="4106" max="4106" width="12.28515625" style="10" customWidth="1"/>
    <col min="4107" max="4107" width="12.5703125" style="10" customWidth="1"/>
    <col min="4108" max="4108" width="10.5703125" style="10" customWidth="1"/>
    <col min="4109" max="4109" width="10.140625" style="10" customWidth="1"/>
    <col min="4110" max="4110" width="8.42578125" style="10" customWidth="1"/>
    <col min="4111" max="4111" width="18.85546875" style="10" customWidth="1"/>
    <col min="4112" max="4112" width="10.28515625" style="10" customWidth="1"/>
    <col min="4113" max="4113" width="11.42578125" style="10"/>
    <col min="4114" max="4114" width="12.140625" style="10" customWidth="1"/>
    <col min="4115" max="4115" width="10.5703125" style="10" customWidth="1"/>
    <col min="4116" max="4116" width="12.42578125" style="10" customWidth="1"/>
    <col min="4117" max="4117" width="15.140625" style="10" customWidth="1"/>
    <col min="4118" max="4118" width="13.5703125" style="10" customWidth="1"/>
    <col min="4119" max="4119" width="13.140625" style="10" customWidth="1"/>
    <col min="4120" max="4120" width="15.7109375" style="10" customWidth="1"/>
    <col min="4121" max="4121" width="37.5703125" style="10" customWidth="1"/>
    <col min="4122" max="4343" width="11.42578125" style="10"/>
    <col min="4344" max="4344" width="10.5703125" style="10" customWidth="1"/>
    <col min="4345" max="4345" width="4.85546875" style="10" customWidth="1"/>
    <col min="4346" max="4346" width="32.42578125" style="10" customWidth="1"/>
    <col min="4347" max="4347" width="9.85546875" style="10" customWidth="1"/>
    <col min="4348" max="4348" width="10.140625" style="10" customWidth="1"/>
    <col min="4349" max="4349" width="12.28515625" style="10" customWidth="1"/>
    <col min="4350" max="4350" width="15.42578125" style="10" customWidth="1"/>
    <col min="4351" max="4351" width="11.85546875" style="10" customWidth="1"/>
    <col min="4352" max="4352" width="13.28515625" style="10" customWidth="1"/>
    <col min="4353" max="4353" width="15.28515625" style="10" customWidth="1"/>
    <col min="4354" max="4354" width="11.85546875" style="10" customWidth="1"/>
    <col min="4355" max="4355" width="6.140625" style="10" customWidth="1"/>
    <col min="4356" max="4356" width="11.85546875" style="10" customWidth="1"/>
    <col min="4357" max="4357" width="9.42578125" style="10" customWidth="1"/>
    <col min="4358" max="4358" width="14.7109375" style="10" customWidth="1"/>
    <col min="4359" max="4359" width="11.5703125" style="10" customWidth="1"/>
    <col min="4360" max="4360" width="0.42578125" style="10" customWidth="1"/>
    <col min="4361" max="4361" width="10.5703125" style="10" bestFit="1" customWidth="1"/>
    <col min="4362" max="4362" width="12.28515625" style="10" customWidth="1"/>
    <col min="4363" max="4363" width="12.5703125" style="10" customWidth="1"/>
    <col min="4364" max="4364" width="10.5703125" style="10" customWidth="1"/>
    <col min="4365" max="4365" width="10.140625" style="10" customWidth="1"/>
    <col min="4366" max="4366" width="8.42578125" style="10" customWidth="1"/>
    <col min="4367" max="4367" width="18.85546875" style="10" customWidth="1"/>
    <col min="4368" max="4368" width="10.28515625" style="10" customWidth="1"/>
    <col min="4369" max="4369" width="11.42578125" style="10"/>
    <col min="4370" max="4370" width="12.140625" style="10" customWidth="1"/>
    <col min="4371" max="4371" width="10.5703125" style="10" customWidth="1"/>
    <col min="4372" max="4372" width="12.42578125" style="10" customWidth="1"/>
    <col min="4373" max="4373" width="15.140625" style="10" customWidth="1"/>
    <col min="4374" max="4374" width="13.5703125" style="10" customWidth="1"/>
    <col min="4375" max="4375" width="13.140625" style="10" customWidth="1"/>
    <col min="4376" max="4376" width="15.7109375" style="10" customWidth="1"/>
    <col min="4377" max="4377" width="37.5703125" style="10" customWidth="1"/>
    <col min="4378" max="4599" width="11.42578125" style="10"/>
    <col min="4600" max="4600" width="10.5703125" style="10" customWidth="1"/>
    <col min="4601" max="4601" width="4.85546875" style="10" customWidth="1"/>
    <col min="4602" max="4602" width="32.42578125" style="10" customWidth="1"/>
    <col min="4603" max="4603" width="9.85546875" style="10" customWidth="1"/>
    <col min="4604" max="4604" width="10.140625" style="10" customWidth="1"/>
    <col min="4605" max="4605" width="12.28515625" style="10" customWidth="1"/>
    <col min="4606" max="4606" width="15.42578125" style="10" customWidth="1"/>
    <col min="4607" max="4607" width="11.85546875" style="10" customWidth="1"/>
    <col min="4608" max="4608" width="13.28515625" style="10" customWidth="1"/>
    <col min="4609" max="4609" width="15.28515625" style="10" customWidth="1"/>
    <col min="4610" max="4610" width="11.85546875" style="10" customWidth="1"/>
    <col min="4611" max="4611" width="6.140625" style="10" customWidth="1"/>
    <col min="4612" max="4612" width="11.85546875" style="10" customWidth="1"/>
    <col min="4613" max="4613" width="9.42578125" style="10" customWidth="1"/>
    <col min="4614" max="4614" width="14.7109375" style="10" customWidth="1"/>
    <col min="4615" max="4615" width="11.5703125" style="10" customWidth="1"/>
    <col min="4616" max="4616" width="0.42578125" style="10" customWidth="1"/>
    <col min="4617" max="4617" width="10.5703125" style="10" bestFit="1" customWidth="1"/>
    <col min="4618" max="4618" width="12.28515625" style="10" customWidth="1"/>
    <col min="4619" max="4619" width="12.5703125" style="10" customWidth="1"/>
    <col min="4620" max="4620" width="10.5703125" style="10" customWidth="1"/>
    <col min="4621" max="4621" width="10.140625" style="10" customWidth="1"/>
    <col min="4622" max="4622" width="8.42578125" style="10" customWidth="1"/>
    <col min="4623" max="4623" width="18.85546875" style="10" customWidth="1"/>
    <col min="4624" max="4624" width="10.28515625" style="10" customWidth="1"/>
    <col min="4625" max="4625" width="11.42578125" style="10"/>
    <col min="4626" max="4626" width="12.140625" style="10" customWidth="1"/>
    <col min="4627" max="4627" width="10.5703125" style="10" customWidth="1"/>
    <col min="4628" max="4628" width="12.42578125" style="10" customWidth="1"/>
    <col min="4629" max="4629" width="15.140625" style="10" customWidth="1"/>
    <col min="4630" max="4630" width="13.5703125" style="10" customWidth="1"/>
    <col min="4631" max="4631" width="13.140625" style="10" customWidth="1"/>
    <col min="4632" max="4632" width="15.7109375" style="10" customWidth="1"/>
    <col min="4633" max="4633" width="37.5703125" style="10" customWidth="1"/>
    <col min="4634" max="4855" width="11.42578125" style="10"/>
    <col min="4856" max="4856" width="10.5703125" style="10" customWidth="1"/>
    <col min="4857" max="4857" width="4.85546875" style="10" customWidth="1"/>
    <col min="4858" max="4858" width="32.42578125" style="10" customWidth="1"/>
    <col min="4859" max="4859" width="9.85546875" style="10" customWidth="1"/>
    <col min="4860" max="4860" width="10.140625" style="10" customWidth="1"/>
    <col min="4861" max="4861" width="12.28515625" style="10" customWidth="1"/>
    <col min="4862" max="4862" width="15.42578125" style="10" customWidth="1"/>
    <col min="4863" max="4863" width="11.85546875" style="10" customWidth="1"/>
    <col min="4864" max="4864" width="13.28515625" style="10" customWidth="1"/>
    <col min="4865" max="4865" width="15.28515625" style="10" customWidth="1"/>
    <col min="4866" max="4866" width="11.85546875" style="10" customWidth="1"/>
    <col min="4867" max="4867" width="6.140625" style="10" customWidth="1"/>
    <col min="4868" max="4868" width="11.85546875" style="10" customWidth="1"/>
    <col min="4869" max="4869" width="9.42578125" style="10" customWidth="1"/>
    <col min="4870" max="4870" width="14.7109375" style="10" customWidth="1"/>
    <col min="4871" max="4871" width="11.5703125" style="10" customWidth="1"/>
    <col min="4872" max="4872" width="0.42578125" style="10" customWidth="1"/>
    <col min="4873" max="4873" width="10.5703125" style="10" bestFit="1" customWidth="1"/>
    <col min="4874" max="4874" width="12.28515625" style="10" customWidth="1"/>
    <col min="4875" max="4875" width="12.5703125" style="10" customWidth="1"/>
    <col min="4876" max="4876" width="10.5703125" style="10" customWidth="1"/>
    <col min="4877" max="4877" width="10.140625" style="10" customWidth="1"/>
    <col min="4878" max="4878" width="8.42578125" style="10" customWidth="1"/>
    <col min="4879" max="4879" width="18.85546875" style="10" customWidth="1"/>
    <col min="4880" max="4880" width="10.28515625" style="10" customWidth="1"/>
    <col min="4881" max="4881" width="11.42578125" style="10"/>
    <col min="4882" max="4882" width="12.140625" style="10" customWidth="1"/>
    <col min="4883" max="4883" width="10.5703125" style="10" customWidth="1"/>
    <col min="4884" max="4884" width="12.42578125" style="10" customWidth="1"/>
    <col min="4885" max="4885" width="15.140625" style="10" customWidth="1"/>
    <col min="4886" max="4886" width="13.5703125" style="10" customWidth="1"/>
    <col min="4887" max="4887" width="13.140625" style="10" customWidth="1"/>
    <col min="4888" max="4888" width="15.7109375" style="10" customWidth="1"/>
    <col min="4889" max="4889" width="37.5703125" style="10" customWidth="1"/>
    <col min="4890" max="5111" width="11.42578125" style="10"/>
    <col min="5112" max="5112" width="10.5703125" style="10" customWidth="1"/>
    <col min="5113" max="5113" width="4.85546875" style="10" customWidth="1"/>
    <col min="5114" max="5114" width="32.42578125" style="10" customWidth="1"/>
    <col min="5115" max="5115" width="9.85546875" style="10" customWidth="1"/>
    <col min="5116" max="5116" width="10.140625" style="10" customWidth="1"/>
    <col min="5117" max="5117" width="12.28515625" style="10" customWidth="1"/>
    <col min="5118" max="5118" width="15.42578125" style="10" customWidth="1"/>
    <col min="5119" max="5119" width="11.85546875" style="10" customWidth="1"/>
    <col min="5120" max="5120" width="13.28515625" style="10" customWidth="1"/>
    <col min="5121" max="5121" width="15.28515625" style="10" customWidth="1"/>
    <col min="5122" max="5122" width="11.85546875" style="10" customWidth="1"/>
    <col min="5123" max="5123" width="6.140625" style="10" customWidth="1"/>
    <col min="5124" max="5124" width="11.85546875" style="10" customWidth="1"/>
    <col min="5125" max="5125" width="9.42578125" style="10" customWidth="1"/>
    <col min="5126" max="5126" width="14.7109375" style="10" customWidth="1"/>
    <col min="5127" max="5127" width="11.5703125" style="10" customWidth="1"/>
    <col min="5128" max="5128" width="0.42578125" style="10" customWidth="1"/>
    <col min="5129" max="5129" width="10.5703125" style="10" bestFit="1" customWidth="1"/>
    <col min="5130" max="5130" width="12.28515625" style="10" customWidth="1"/>
    <col min="5131" max="5131" width="12.5703125" style="10" customWidth="1"/>
    <col min="5132" max="5132" width="10.5703125" style="10" customWidth="1"/>
    <col min="5133" max="5133" width="10.140625" style="10" customWidth="1"/>
    <col min="5134" max="5134" width="8.42578125" style="10" customWidth="1"/>
    <col min="5135" max="5135" width="18.85546875" style="10" customWidth="1"/>
    <col min="5136" max="5136" width="10.28515625" style="10" customWidth="1"/>
    <col min="5137" max="5137" width="11.42578125" style="10"/>
    <col min="5138" max="5138" width="12.140625" style="10" customWidth="1"/>
    <col min="5139" max="5139" width="10.5703125" style="10" customWidth="1"/>
    <col min="5140" max="5140" width="12.42578125" style="10" customWidth="1"/>
    <col min="5141" max="5141" width="15.140625" style="10" customWidth="1"/>
    <col min="5142" max="5142" width="13.5703125" style="10" customWidth="1"/>
    <col min="5143" max="5143" width="13.140625" style="10" customWidth="1"/>
    <col min="5144" max="5144" width="15.7109375" style="10" customWidth="1"/>
    <col min="5145" max="5145" width="37.5703125" style="10" customWidth="1"/>
    <col min="5146" max="5367" width="11.42578125" style="10"/>
    <col min="5368" max="5368" width="10.5703125" style="10" customWidth="1"/>
    <col min="5369" max="5369" width="4.85546875" style="10" customWidth="1"/>
    <col min="5370" max="5370" width="32.42578125" style="10" customWidth="1"/>
    <col min="5371" max="5371" width="9.85546875" style="10" customWidth="1"/>
    <col min="5372" max="5372" width="10.140625" style="10" customWidth="1"/>
    <col min="5373" max="5373" width="12.28515625" style="10" customWidth="1"/>
    <col min="5374" max="5374" width="15.42578125" style="10" customWidth="1"/>
    <col min="5375" max="5375" width="11.85546875" style="10" customWidth="1"/>
    <col min="5376" max="5376" width="13.28515625" style="10" customWidth="1"/>
    <col min="5377" max="5377" width="15.28515625" style="10" customWidth="1"/>
    <col min="5378" max="5378" width="11.85546875" style="10" customWidth="1"/>
    <col min="5379" max="5379" width="6.140625" style="10" customWidth="1"/>
    <col min="5380" max="5380" width="11.85546875" style="10" customWidth="1"/>
    <col min="5381" max="5381" width="9.42578125" style="10" customWidth="1"/>
    <col min="5382" max="5382" width="14.7109375" style="10" customWidth="1"/>
    <col min="5383" max="5383" width="11.5703125" style="10" customWidth="1"/>
    <col min="5384" max="5384" width="0.42578125" style="10" customWidth="1"/>
    <col min="5385" max="5385" width="10.5703125" style="10" bestFit="1" customWidth="1"/>
    <col min="5386" max="5386" width="12.28515625" style="10" customWidth="1"/>
    <col min="5387" max="5387" width="12.5703125" style="10" customWidth="1"/>
    <col min="5388" max="5388" width="10.5703125" style="10" customWidth="1"/>
    <col min="5389" max="5389" width="10.140625" style="10" customWidth="1"/>
    <col min="5390" max="5390" width="8.42578125" style="10" customWidth="1"/>
    <col min="5391" max="5391" width="18.85546875" style="10" customWidth="1"/>
    <col min="5392" max="5392" width="10.28515625" style="10" customWidth="1"/>
    <col min="5393" max="5393" width="11.42578125" style="10"/>
    <col min="5394" max="5394" width="12.140625" style="10" customWidth="1"/>
    <col min="5395" max="5395" width="10.5703125" style="10" customWidth="1"/>
    <col min="5396" max="5396" width="12.42578125" style="10" customWidth="1"/>
    <col min="5397" max="5397" width="15.140625" style="10" customWidth="1"/>
    <col min="5398" max="5398" width="13.5703125" style="10" customWidth="1"/>
    <col min="5399" max="5399" width="13.140625" style="10" customWidth="1"/>
    <col min="5400" max="5400" width="15.7109375" style="10" customWidth="1"/>
    <col min="5401" max="5401" width="37.5703125" style="10" customWidth="1"/>
    <col min="5402" max="5623" width="11.42578125" style="10"/>
    <col min="5624" max="5624" width="10.5703125" style="10" customWidth="1"/>
    <col min="5625" max="5625" width="4.85546875" style="10" customWidth="1"/>
    <col min="5626" max="5626" width="32.42578125" style="10" customWidth="1"/>
    <col min="5627" max="5627" width="9.85546875" style="10" customWidth="1"/>
    <col min="5628" max="5628" width="10.140625" style="10" customWidth="1"/>
    <col min="5629" max="5629" width="12.28515625" style="10" customWidth="1"/>
    <col min="5630" max="5630" width="15.42578125" style="10" customWidth="1"/>
    <col min="5631" max="5631" width="11.85546875" style="10" customWidth="1"/>
    <col min="5632" max="5632" width="13.28515625" style="10" customWidth="1"/>
    <col min="5633" max="5633" width="15.28515625" style="10" customWidth="1"/>
    <col min="5634" max="5634" width="11.85546875" style="10" customWidth="1"/>
    <col min="5635" max="5635" width="6.140625" style="10" customWidth="1"/>
    <col min="5636" max="5636" width="11.85546875" style="10" customWidth="1"/>
    <col min="5637" max="5637" width="9.42578125" style="10" customWidth="1"/>
    <col min="5638" max="5638" width="14.7109375" style="10" customWidth="1"/>
    <col min="5639" max="5639" width="11.5703125" style="10" customWidth="1"/>
    <col min="5640" max="5640" width="0.42578125" style="10" customWidth="1"/>
    <col min="5641" max="5641" width="10.5703125" style="10" bestFit="1" customWidth="1"/>
    <col min="5642" max="5642" width="12.28515625" style="10" customWidth="1"/>
    <col min="5643" max="5643" width="12.5703125" style="10" customWidth="1"/>
    <col min="5644" max="5644" width="10.5703125" style="10" customWidth="1"/>
    <col min="5645" max="5645" width="10.140625" style="10" customWidth="1"/>
    <col min="5646" max="5646" width="8.42578125" style="10" customWidth="1"/>
    <col min="5647" max="5647" width="18.85546875" style="10" customWidth="1"/>
    <col min="5648" max="5648" width="10.28515625" style="10" customWidth="1"/>
    <col min="5649" max="5649" width="11.42578125" style="10"/>
    <col min="5650" max="5650" width="12.140625" style="10" customWidth="1"/>
    <col min="5651" max="5651" width="10.5703125" style="10" customWidth="1"/>
    <col min="5652" max="5652" width="12.42578125" style="10" customWidth="1"/>
    <col min="5653" max="5653" width="15.140625" style="10" customWidth="1"/>
    <col min="5654" max="5654" width="13.5703125" style="10" customWidth="1"/>
    <col min="5655" max="5655" width="13.140625" style="10" customWidth="1"/>
    <col min="5656" max="5656" width="15.7109375" style="10" customWidth="1"/>
    <col min="5657" max="5657" width="37.5703125" style="10" customWidth="1"/>
    <col min="5658" max="5879" width="11.42578125" style="10"/>
    <col min="5880" max="5880" width="10.5703125" style="10" customWidth="1"/>
    <col min="5881" max="5881" width="4.85546875" style="10" customWidth="1"/>
    <col min="5882" max="5882" width="32.42578125" style="10" customWidth="1"/>
    <col min="5883" max="5883" width="9.85546875" style="10" customWidth="1"/>
    <col min="5884" max="5884" width="10.140625" style="10" customWidth="1"/>
    <col min="5885" max="5885" width="12.28515625" style="10" customWidth="1"/>
    <col min="5886" max="5886" width="15.42578125" style="10" customWidth="1"/>
    <col min="5887" max="5887" width="11.85546875" style="10" customWidth="1"/>
    <col min="5888" max="5888" width="13.28515625" style="10" customWidth="1"/>
    <col min="5889" max="5889" width="15.28515625" style="10" customWidth="1"/>
    <col min="5890" max="5890" width="11.85546875" style="10" customWidth="1"/>
    <col min="5891" max="5891" width="6.140625" style="10" customWidth="1"/>
    <col min="5892" max="5892" width="11.85546875" style="10" customWidth="1"/>
    <col min="5893" max="5893" width="9.42578125" style="10" customWidth="1"/>
    <col min="5894" max="5894" width="14.7109375" style="10" customWidth="1"/>
    <col min="5895" max="5895" width="11.5703125" style="10" customWidth="1"/>
    <col min="5896" max="5896" width="0.42578125" style="10" customWidth="1"/>
    <col min="5897" max="5897" width="10.5703125" style="10" bestFit="1" customWidth="1"/>
    <col min="5898" max="5898" width="12.28515625" style="10" customWidth="1"/>
    <col min="5899" max="5899" width="12.5703125" style="10" customWidth="1"/>
    <col min="5900" max="5900" width="10.5703125" style="10" customWidth="1"/>
    <col min="5901" max="5901" width="10.140625" style="10" customWidth="1"/>
    <col min="5902" max="5902" width="8.42578125" style="10" customWidth="1"/>
    <col min="5903" max="5903" width="18.85546875" style="10" customWidth="1"/>
    <col min="5904" max="5904" width="10.28515625" style="10" customWidth="1"/>
    <col min="5905" max="5905" width="11.42578125" style="10"/>
    <col min="5906" max="5906" width="12.140625" style="10" customWidth="1"/>
    <col min="5907" max="5907" width="10.5703125" style="10" customWidth="1"/>
    <col min="5908" max="5908" width="12.42578125" style="10" customWidth="1"/>
    <col min="5909" max="5909" width="15.140625" style="10" customWidth="1"/>
    <col min="5910" max="5910" width="13.5703125" style="10" customWidth="1"/>
    <col min="5911" max="5911" width="13.140625" style="10" customWidth="1"/>
    <col min="5912" max="5912" width="15.7109375" style="10" customWidth="1"/>
    <col min="5913" max="5913" width="37.5703125" style="10" customWidth="1"/>
    <col min="5914" max="6135" width="11.42578125" style="10"/>
    <col min="6136" max="6136" width="10.5703125" style="10" customWidth="1"/>
    <col min="6137" max="6137" width="4.85546875" style="10" customWidth="1"/>
    <col min="6138" max="6138" width="32.42578125" style="10" customWidth="1"/>
    <col min="6139" max="6139" width="9.85546875" style="10" customWidth="1"/>
    <col min="6140" max="6140" width="10.140625" style="10" customWidth="1"/>
    <col min="6141" max="6141" width="12.28515625" style="10" customWidth="1"/>
    <col min="6142" max="6142" width="15.42578125" style="10" customWidth="1"/>
    <col min="6143" max="6143" width="11.85546875" style="10" customWidth="1"/>
    <col min="6144" max="6144" width="13.28515625" style="10" customWidth="1"/>
    <col min="6145" max="6145" width="15.28515625" style="10" customWidth="1"/>
    <col min="6146" max="6146" width="11.85546875" style="10" customWidth="1"/>
    <col min="6147" max="6147" width="6.140625" style="10" customWidth="1"/>
    <col min="6148" max="6148" width="11.85546875" style="10" customWidth="1"/>
    <col min="6149" max="6149" width="9.42578125" style="10" customWidth="1"/>
    <col min="6150" max="6150" width="14.7109375" style="10" customWidth="1"/>
    <col min="6151" max="6151" width="11.5703125" style="10" customWidth="1"/>
    <col min="6152" max="6152" width="0.42578125" style="10" customWidth="1"/>
    <col min="6153" max="6153" width="10.5703125" style="10" bestFit="1" customWidth="1"/>
    <col min="6154" max="6154" width="12.28515625" style="10" customWidth="1"/>
    <col min="6155" max="6155" width="12.5703125" style="10" customWidth="1"/>
    <col min="6156" max="6156" width="10.5703125" style="10" customWidth="1"/>
    <col min="6157" max="6157" width="10.140625" style="10" customWidth="1"/>
    <col min="6158" max="6158" width="8.42578125" style="10" customWidth="1"/>
    <col min="6159" max="6159" width="18.85546875" style="10" customWidth="1"/>
    <col min="6160" max="6160" width="10.28515625" style="10" customWidth="1"/>
    <col min="6161" max="6161" width="11.42578125" style="10"/>
    <col min="6162" max="6162" width="12.140625" style="10" customWidth="1"/>
    <col min="6163" max="6163" width="10.5703125" style="10" customWidth="1"/>
    <col min="6164" max="6164" width="12.42578125" style="10" customWidth="1"/>
    <col min="6165" max="6165" width="15.140625" style="10" customWidth="1"/>
    <col min="6166" max="6166" width="13.5703125" style="10" customWidth="1"/>
    <col min="6167" max="6167" width="13.140625" style="10" customWidth="1"/>
    <col min="6168" max="6168" width="15.7109375" style="10" customWidth="1"/>
    <col min="6169" max="6169" width="37.5703125" style="10" customWidth="1"/>
    <col min="6170" max="6391" width="11.42578125" style="10"/>
    <col min="6392" max="6392" width="10.5703125" style="10" customWidth="1"/>
    <col min="6393" max="6393" width="4.85546875" style="10" customWidth="1"/>
    <col min="6394" max="6394" width="32.42578125" style="10" customWidth="1"/>
    <col min="6395" max="6395" width="9.85546875" style="10" customWidth="1"/>
    <col min="6396" max="6396" width="10.140625" style="10" customWidth="1"/>
    <col min="6397" max="6397" width="12.28515625" style="10" customWidth="1"/>
    <col min="6398" max="6398" width="15.42578125" style="10" customWidth="1"/>
    <col min="6399" max="6399" width="11.85546875" style="10" customWidth="1"/>
    <col min="6400" max="6400" width="13.28515625" style="10" customWidth="1"/>
    <col min="6401" max="6401" width="15.28515625" style="10" customWidth="1"/>
    <col min="6402" max="6402" width="11.85546875" style="10" customWidth="1"/>
    <col min="6403" max="6403" width="6.140625" style="10" customWidth="1"/>
    <col min="6404" max="6404" width="11.85546875" style="10" customWidth="1"/>
    <col min="6405" max="6405" width="9.42578125" style="10" customWidth="1"/>
    <col min="6406" max="6406" width="14.7109375" style="10" customWidth="1"/>
    <col min="6407" max="6407" width="11.5703125" style="10" customWidth="1"/>
    <col min="6408" max="6408" width="0.42578125" style="10" customWidth="1"/>
    <col min="6409" max="6409" width="10.5703125" style="10" bestFit="1" customWidth="1"/>
    <col min="6410" max="6410" width="12.28515625" style="10" customWidth="1"/>
    <col min="6411" max="6411" width="12.5703125" style="10" customWidth="1"/>
    <col min="6412" max="6412" width="10.5703125" style="10" customWidth="1"/>
    <col min="6413" max="6413" width="10.140625" style="10" customWidth="1"/>
    <col min="6414" max="6414" width="8.42578125" style="10" customWidth="1"/>
    <col min="6415" max="6415" width="18.85546875" style="10" customWidth="1"/>
    <col min="6416" max="6416" width="10.28515625" style="10" customWidth="1"/>
    <col min="6417" max="6417" width="11.42578125" style="10"/>
    <col min="6418" max="6418" width="12.140625" style="10" customWidth="1"/>
    <col min="6419" max="6419" width="10.5703125" style="10" customWidth="1"/>
    <col min="6420" max="6420" width="12.42578125" style="10" customWidth="1"/>
    <col min="6421" max="6421" width="15.140625" style="10" customWidth="1"/>
    <col min="6422" max="6422" width="13.5703125" style="10" customWidth="1"/>
    <col min="6423" max="6423" width="13.140625" style="10" customWidth="1"/>
    <col min="6424" max="6424" width="15.7109375" style="10" customWidth="1"/>
    <col min="6425" max="6425" width="37.5703125" style="10" customWidth="1"/>
    <col min="6426" max="6647" width="11.42578125" style="10"/>
    <col min="6648" max="6648" width="10.5703125" style="10" customWidth="1"/>
    <col min="6649" max="6649" width="4.85546875" style="10" customWidth="1"/>
    <col min="6650" max="6650" width="32.42578125" style="10" customWidth="1"/>
    <col min="6651" max="6651" width="9.85546875" style="10" customWidth="1"/>
    <col min="6652" max="6652" width="10.140625" style="10" customWidth="1"/>
    <col min="6653" max="6653" width="12.28515625" style="10" customWidth="1"/>
    <col min="6654" max="6654" width="15.42578125" style="10" customWidth="1"/>
    <col min="6655" max="6655" width="11.85546875" style="10" customWidth="1"/>
    <col min="6656" max="6656" width="13.28515625" style="10" customWidth="1"/>
    <col min="6657" max="6657" width="15.28515625" style="10" customWidth="1"/>
    <col min="6658" max="6658" width="11.85546875" style="10" customWidth="1"/>
    <col min="6659" max="6659" width="6.140625" style="10" customWidth="1"/>
    <col min="6660" max="6660" width="11.85546875" style="10" customWidth="1"/>
    <col min="6661" max="6661" width="9.42578125" style="10" customWidth="1"/>
    <col min="6662" max="6662" width="14.7109375" style="10" customWidth="1"/>
    <col min="6663" max="6663" width="11.5703125" style="10" customWidth="1"/>
    <col min="6664" max="6664" width="0.42578125" style="10" customWidth="1"/>
    <col min="6665" max="6665" width="10.5703125" style="10" bestFit="1" customWidth="1"/>
    <col min="6666" max="6666" width="12.28515625" style="10" customWidth="1"/>
    <col min="6667" max="6667" width="12.5703125" style="10" customWidth="1"/>
    <col min="6668" max="6668" width="10.5703125" style="10" customWidth="1"/>
    <col min="6669" max="6669" width="10.140625" style="10" customWidth="1"/>
    <col min="6670" max="6670" width="8.42578125" style="10" customWidth="1"/>
    <col min="6671" max="6671" width="18.85546875" style="10" customWidth="1"/>
    <col min="6672" max="6672" width="10.28515625" style="10" customWidth="1"/>
    <col min="6673" max="6673" width="11.42578125" style="10"/>
    <col min="6674" max="6674" width="12.140625" style="10" customWidth="1"/>
    <col min="6675" max="6675" width="10.5703125" style="10" customWidth="1"/>
    <col min="6676" max="6676" width="12.42578125" style="10" customWidth="1"/>
    <col min="6677" max="6677" width="15.140625" style="10" customWidth="1"/>
    <col min="6678" max="6678" width="13.5703125" style="10" customWidth="1"/>
    <col min="6679" max="6679" width="13.140625" style="10" customWidth="1"/>
    <col min="6680" max="6680" width="15.7109375" style="10" customWidth="1"/>
    <col min="6681" max="6681" width="37.5703125" style="10" customWidth="1"/>
    <col min="6682" max="6903" width="11.42578125" style="10"/>
    <col min="6904" max="6904" width="10.5703125" style="10" customWidth="1"/>
    <col min="6905" max="6905" width="4.85546875" style="10" customWidth="1"/>
    <col min="6906" max="6906" width="32.42578125" style="10" customWidth="1"/>
    <col min="6907" max="6907" width="9.85546875" style="10" customWidth="1"/>
    <col min="6908" max="6908" width="10.140625" style="10" customWidth="1"/>
    <col min="6909" max="6909" width="12.28515625" style="10" customWidth="1"/>
    <col min="6910" max="6910" width="15.42578125" style="10" customWidth="1"/>
    <col min="6911" max="6911" width="11.85546875" style="10" customWidth="1"/>
    <col min="6912" max="6912" width="13.28515625" style="10" customWidth="1"/>
    <col min="6913" max="6913" width="15.28515625" style="10" customWidth="1"/>
    <col min="6914" max="6914" width="11.85546875" style="10" customWidth="1"/>
    <col min="6915" max="6915" width="6.140625" style="10" customWidth="1"/>
    <col min="6916" max="6916" width="11.85546875" style="10" customWidth="1"/>
    <col min="6917" max="6917" width="9.42578125" style="10" customWidth="1"/>
    <col min="6918" max="6918" width="14.7109375" style="10" customWidth="1"/>
    <col min="6919" max="6919" width="11.5703125" style="10" customWidth="1"/>
    <col min="6920" max="6920" width="0.42578125" style="10" customWidth="1"/>
    <col min="6921" max="6921" width="10.5703125" style="10" bestFit="1" customWidth="1"/>
    <col min="6922" max="6922" width="12.28515625" style="10" customWidth="1"/>
    <col min="6923" max="6923" width="12.5703125" style="10" customWidth="1"/>
    <col min="6924" max="6924" width="10.5703125" style="10" customWidth="1"/>
    <col min="6925" max="6925" width="10.140625" style="10" customWidth="1"/>
    <col min="6926" max="6926" width="8.42578125" style="10" customWidth="1"/>
    <col min="6927" max="6927" width="18.85546875" style="10" customWidth="1"/>
    <col min="6928" max="6928" width="10.28515625" style="10" customWidth="1"/>
    <col min="6929" max="6929" width="11.42578125" style="10"/>
    <col min="6930" max="6930" width="12.140625" style="10" customWidth="1"/>
    <col min="6931" max="6931" width="10.5703125" style="10" customWidth="1"/>
    <col min="6932" max="6932" width="12.42578125" style="10" customWidth="1"/>
    <col min="6933" max="6933" width="15.140625" style="10" customWidth="1"/>
    <col min="6934" max="6934" width="13.5703125" style="10" customWidth="1"/>
    <col min="6935" max="6935" width="13.140625" style="10" customWidth="1"/>
    <col min="6936" max="6936" width="15.7109375" style="10" customWidth="1"/>
    <col min="6937" max="6937" width="37.5703125" style="10" customWidth="1"/>
    <col min="6938" max="7159" width="11.42578125" style="10"/>
    <col min="7160" max="7160" width="10.5703125" style="10" customWidth="1"/>
    <col min="7161" max="7161" width="4.85546875" style="10" customWidth="1"/>
    <col min="7162" max="7162" width="32.42578125" style="10" customWidth="1"/>
    <col min="7163" max="7163" width="9.85546875" style="10" customWidth="1"/>
    <col min="7164" max="7164" width="10.140625" style="10" customWidth="1"/>
    <col min="7165" max="7165" width="12.28515625" style="10" customWidth="1"/>
    <col min="7166" max="7166" width="15.42578125" style="10" customWidth="1"/>
    <col min="7167" max="7167" width="11.85546875" style="10" customWidth="1"/>
    <col min="7168" max="7168" width="13.28515625" style="10" customWidth="1"/>
    <col min="7169" max="7169" width="15.28515625" style="10" customWidth="1"/>
    <col min="7170" max="7170" width="11.85546875" style="10" customWidth="1"/>
    <col min="7171" max="7171" width="6.140625" style="10" customWidth="1"/>
    <col min="7172" max="7172" width="11.85546875" style="10" customWidth="1"/>
    <col min="7173" max="7173" width="9.42578125" style="10" customWidth="1"/>
    <col min="7174" max="7174" width="14.7109375" style="10" customWidth="1"/>
    <col min="7175" max="7175" width="11.5703125" style="10" customWidth="1"/>
    <col min="7176" max="7176" width="0.42578125" style="10" customWidth="1"/>
    <col min="7177" max="7177" width="10.5703125" style="10" bestFit="1" customWidth="1"/>
    <col min="7178" max="7178" width="12.28515625" style="10" customWidth="1"/>
    <col min="7179" max="7179" width="12.5703125" style="10" customWidth="1"/>
    <col min="7180" max="7180" width="10.5703125" style="10" customWidth="1"/>
    <col min="7181" max="7181" width="10.140625" style="10" customWidth="1"/>
    <col min="7182" max="7182" width="8.42578125" style="10" customWidth="1"/>
    <col min="7183" max="7183" width="18.85546875" style="10" customWidth="1"/>
    <col min="7184" max="7184" width="10.28515625" style="10" customWidth="1"/>
    <col min="7185" max="7185" width="11.42578125" style="10"/>
    <col min="7186" max="7186" width="12.140625" style="10" customWidth="1"/>
    <col min="7187" max="7187" width="10.5703125" style="10" customWidth="1"/>
    <col min="7188" max="7188" width="12.42578125" style="10" customWidth="1"/>
    <col min="7189" max="7189" width="15.140625" style="10" customWidth="1"/>
    <col min="7190" max="7190" width="13.5703125" style="10" customWidth="1"/>
    <col min="7191" max="7191" width="13.140625" style="10" customWidth="1"/>
    <col min="7192" max="7192" width="15.7109375" style="10" customWidth="1"/>
    <col min="7193" max="7193" width="37.5703125" style="10" customWidth="1"/>
    <col min="7194" max="7415" width="11.42578125" style="10"/>
    <col min="7416" max="7416" width="10.5703125" style="10" customWidth="1"/>
    <col min="7417" max="7417" width="4.85546875" style="10" customWidth="1"/>
    <col min="7418" max="7418" width="32.42578125" style="10" customWidth="1"/>
    <col min="7419" max="7419" width="9.85546875" style="10" customWidth="1"/>
    <col min="7420" max="7420" width="10.140625" style="10" customWidth="1"/>
    <col min="7421" max="7421" width="12.28515625" style="10" customWidth="1"/>
    <col min="7422" max="7422" width="15.42578125" style="10" customWidth="1"/>
    <col min="7423" max="7423" width="11.85546875" style="10" customWidth="1"/>
    <col min="7424" max="7424" width="13.28515625" style="10" customWidth="1"/>
    <col min="7425" max="7425" width="15.28515625" style="10" customWidth="1"/>
    <col min="7426" max="7426" width="11.85546875" style="10" customWidth="1"/>
    <col min="7427" max="7427" width="6.140625" style="10" customWidth="1"/>
    <col min="7428" max="7428" width="11.85546875" style="10" customWidth="1"/>
    <col min="7429" max="7429" width="9.42578125" style="10" customWidth="1"/>
    <col min="7430" max="7430" width="14.7109375" style="10" customWidth="1"/>
    <col min="7431" max="7431" width="11.5703125" style="10" customWidth="1"/>
    <col min="7432" max="7432" width="0.42578125" style="10" customWidth="1"/>
    <col min="7433" max="7433" width="10.5703125" style="10" bestFit="1" customWidth="1"/>
    <col min="7434" max="7434" width="12.28515625" style="10" customWidth="1"/>
    <col min="7435" max="7435" width="12.5703125" style="10" customWidth="1"/>
    <col min="7436" max="7436" width="10.5703125" style="10" customWidth="1"/>
    <col min="7437" max="7437" width="10.140625" style="10" customWidth="1"/>
    <col min="7438" max="7438" width="8.42578125" style="10" customWidth="1"/>
    <col min="7439" max="7439" width="18.85546875" style="10" customWidth="1"/>
    <col min="7440" max="7440" width="10.28515625" style="10" customWidth="1"/>
    <col min="7441" max="7441" width="11.42578125" style="10"/>
    <col min="7442" max="7442" width="12.140625" style="10" customWidth="1"/>
    <col min="7443" max="7443" width="10.5703125" style="10" customWidth="1"/>
    <col min="7444" max="7444" width="12.42578125" style="10" customWidth="1"/>
    <col min="7445" max="7445" width="15.140625" style="10" customWidth="1"/>
    <col min="7446" max="7446" width="13.5703125" style="10" customWidth="1"/>
    <col min="7447" max="7447" width="13.140625" style="10" customWidth="1"/>
    <col min="7448" max="7448" width="15.7109375" style="10" customWidth="1"/>
    <col min="7449" max="7449" width="37.5703125" style="10" customWidth="1"/>
    <col min="7450" max="7671" width="11.42578125" style="10"/>
    <col min="7672" max="7672" width="10.5703125" style="10" customWidth="1"/>
    <col min="7673" max="7673" width="4.85546875" style="10" customWidth="1"/>
    <col min="7674" max="7674" width="32.42578125" style="10" customWidth="1"/>
    <col min="7675" max="7675" width="9.85546875" style="10" customWidth="1"/>
    <col min="7676" max="7676" width="10.140625" style="10" customWidth="1"/>
    <col min="7677" max="7677" width="12.28515625" style="10" customWidth="1"/>
    <col min="7678" max="7678" width="15.42578125" style="10" customWidth="1"/>
    <col min="7679" max="7679" width="11.85546875" style="10" customWidth="1"/>
    <col min="7680" max="7680" width="13.28515625" style="10" customWidth="1"/>
    <col min="7681" max="7681" width="15.28515625" style="10" customWidth="1"/>
    <col min="7682" max="7682" width="11.85546875" style="10" customWidth="1"/>
    <col min="7683" max="7683" width="6.140625" style="10" customWidth="1"/>
    <col min="7684" max="7684" width="11.85546875" style="10" customWidth="1"/>
    <col min="7685" max="7685" width="9.42578125" style="10" customWidth="1"/>
    <col min="7686" max="7686" width="14.7109375" style="10" customWidth="1"/>
    <col min="7687" max="7687" width="11.5703125" style="10" customWidth="1"/>
    <col min="7688" max="7688" width="0.42578125" style="10" customWidth="1"/>
    <col min="7689" max="7689" width="10.5703125" style="10" bestFit="1" customWidth="1"/>
    <col min="7690" max="7690" width="12.28515625" style="10" customWidth="1"/>
    <col min="7691" max="7691" width="12.5703125" style="10" customWidth="1"/>
    <col min="7692" max="7692" width="10.5703125" style="10" customWidth="1"/>
    <col min="7693" max="7693" width="10.140625" style="10" customWidth="1"/>
    <col min="7694" max="7694" width="8.42578125" style="10" customWidth="1"/>
    <col min="7695" max="7695" width="18.85546875" style="10" customWidth="1"/>
    <col min="7696" max="7696" width="10.28515625" style="10" customWidth="1"/>
    <col min="7697" max="7697" width="11.42578125" style="10"/>
    <col min="7698" max="7698" width="12.140625" style="10" customWidth="1"/>
    <col min="7699" max="7699" width="10.5703125" style="10" customWidth="1"/>
    <col min="7700" max="7700" width="12.42578125" style="10" customWidth="1"/>
    <col min="7701" max="7701" width="15.140625" style="10" customWidth="1"/>
    <col min="7702" max="7702" width="13.5703125" style="10" customWidth="1"/>
    <col min="7703" max="7703" width="13.140625" style="10" customWidth="1"/>
    <col min="7704" max="7704" width="15.7109375" style="10" customWidth="1"/>
    <col min="7705" max="7705" width="37.5703125" style="10" customWidth="1"/>
    <col min="7706" max="7927" width="11.42578125" style="10"/>
    <col min="7928" max="7928" width="10.5703125" style="10" customWidth="1"/>
    <col min="7929" max="7929" width="4.85546875" style="10" customWidth="1"/>
    <col min="7930" max="7930" width="32.42578125" style="10" customWidth="1"/>
    <col min="7931" max="7931" width="9.85546875" style="10" customWidth="1"/>
    <col min="7932" max="7932" width="10.140625" style="10" customWidth="1"/>
    <col min="7933" max="7933" width="12.28515625" style="10" customWidth="1"/>
    <col min="7934" max="7934" width="15.42578125" style="10" customWidth="1"/>
    <col min="7935" max="7935" width="11.85546875" style="10" customWidth="1"/>
    <col min="7936" max="7936" width="13.28515625" style="10" customWidth="1"/>
    <col min="7937" max="7937" width="15.28515625" style="10" customWidth="1"/>
    <col min="7938" max="7938" width="11.85546875" style="10" customWidth="1"/>
    <col min="7939" max="7939" width="6.140625" style="10" customWidth="1"/>
    <col min="7940" max="7940" width="11.85546875" style="10" customWidth="1"/>
    <col min="7941" max="7941" width="9.42578125" style="10" customWidth="1"/>
    <col min="7942" max="7942" width="14.7109375" style="10" customWidth="1"/>
    <col min="7943" max="7943" width="11.5703125" style="10" customWidth="1"/>
    <col min="7944" max="7944" width="0.42578125" style="10" customWidth="1"/>
    <col min="7945" max="7945" width="10.5703125" style="10" bestFit="1" customWidth="1"/>
    <col min="7946" max="7946" width="12.28515625" style="10" customWidth="1"/>
    <col min="7947" max="7947" width="12.5703125" style="10" customWidth="1"/>
    <col min="7948" max="7948" width="10.5703125" style="10" customWidth="1"/>
    <col min="7949" max="7949" width="10.140625" style="10" customWidth="1"/>
    <col min="7950" max="7950" width="8.42578125" style="10" customWidth="1"/>
    <col min="7951" max="7951" width="18.85546875" style="10" customWidth="1"/>
    <col min="7952" max="7952" width="10.28515625" style="10" customWidth="1"/>
    <col min="7953" max="7953" width="11.42578125" style="10"/>
    <col min="7954" max="7954" width="12.140625" style="10" customWidth="1"/>
    <col min="7955" max="7955" width="10.5703125" style="10" customWidth="1"/>
    <col min="7956" max="7956" width="12.42578125" style="10" customWidth="1"/>
    <col min="7957" max="7957" width="15.140625" style="10" customWidth="1"/>
    <col min="7958" max="7958" width="13.5703125" style="10" customWidth="1"/>
    <col min="7959" max="7959" width="13.140625" style="10" customWidth="1"/>
    <col min="7960" max="7960" width="15.7109375" style="10" customWidth="1"/>
    <col min="7961" max="7961" width="37.5703125" style="10" customWidth="1"/>
    <col min="7962" max="8183" width="11.42578125" style="10"/>
    <col min="8184" max="8184" width="10.5703125" style="10" customWidth="1"/>
    <col min="8185" max="8185" width="4.85546875" style="10" customWidth="1"/>
    <col min="8186" max="8186" width="32.42578125" style="10" customWidth="1"/>
    <col min="8187" max="8187" width="9.85546875" style="10" customWidth="1"/>
    <col min="8188" max="8188" width="10.140625" style="10" customWidth="1"/>
    <col min="8189" max="8189" width="12.28515625" style="10" customWidth="1"/>
    <col min="8190" max="8190" width="15.42578125" style="10" customWidth="1"/>
    <col min="8191" max="8191" width="11.85546875" style="10" customWidth="1"/>
    <col min="8192" max="8192" width="13.28515625" style="10" customWidth="1"/>
    <col min="8193" max="8193" width="15.28515625" style="10" customWidth="1"/>
    <col min="8194" max="8194" width="11.85546875" style="10" customWidth="1"/>
    <col min="8195" max="8195" width="6.140625" style="10" customWidth="1"/>
    <col min="8196" max="8196" width="11.85546875" style="10" customWidth="1"/>
    <col min="8197" max="8197" width="9.42578125" style="10" customWidth="1"/>
    <col min="8198" max="8198" width="14.7109375" style="10" customWidth="1"/>
    <col min="8199" max="8199" width="11.5703125" style="10" customWidth="1"/>
    <col min="8200" max="8200" width="0.42578125" style="10" customWidth="1"/>
    <col min="8201" max="8201" width="10.5703125" style="10" bestFit="1" customWidth="1"/>
    <col min="8202" max="8202" width="12.28515625" style="10" customWidth="1"/>
    <col min="8203" max="8203" width="12.5703125" style="10" customWidth="1"/>
    <col min="8204" max="8204" width="10.5703125" style="10" customWidth="1"/>
    <col min="8205" max="8205" width="10.140625" style="10" customWidth="1"/>
    <col min="8206" max="8206" width="8.42578125" style="10" customWidth="1"/>
    <col min="8207" max="8207" width="18.85546875" style="10" customWidth="1"/>
    <col min="8208" max="8208" width="10.28515625" style="10" customWidth="1"/>
    <col min="8209" max="8209" width="11.42578125" style="10"/>
    <col min="8210" max="8210" width="12.140625" style="10" customWidth="1"/>
    <col min="8211" max="8211" width="10.5703125" style="10" customWidth="1"/>
    <col min="8212" max="8212" width="12.42578125" style="10" customWidth="1"/>
    <col min="8213" max="8213" width="15.140625" style="10" customWidth="1"/>
    <col min="8214" max="8214" width="13.5703125" style="10" customWidth="1"/>
    <col min="8215" max="8215" width="13.140625" style="10" customWidth="1"/>
    <col min="8216" max="8216" width="15.7109375" style="10" customWidth="1"/>
    <col min="8217" max="8217" width="37.5703125" style="10" customWidth="1"/>
    <col min="8218" max="8439" width="11.42578125" style="10"/>
    <col min="8440" max="8440" width="10.5703125" style="10" customWidth="1"/>
    <col min="8441" max="8441" width="4.85546875" style="10" customWidth="1"/>
    <col min="8442" max="8442" width="32.42578125" style="10" customWidth="1"/>
    <col min="8443" max="8443" width="9.85546875" style="10" customWidth="1"/>
    <col min="8444" max="8444" width="10.140625" style="10" customWidth="1"/>
    <col min="8445" max="8445" width="12.28515625" style="10" customWidth="1"/>
    <col min="8446" max="8446" width="15.42578125" style="10" customWidth="1"/>
    <col min="8447" max="8447" width="11.85546875" style="10" customWidth="1"/>
    <col min="8448" max="8448" width="13.28515625" style="10" customWidth="1"/>
    <col min="8449" max="8449" width="15.28515625" style="10" customWidth="1"/>
    <col min="8450" max="8450" width="11.85546875" style="10" customWidth="1"/>
    <col min="8451" max="8451" width="6.140625" style="10" customWidth="1"/>
    <col min="8452" max="8452" width="11.85546875" style="10" customWidth="1"/>
    <col min="8453" max="8453" width="9.42578125" style="10" customWidth="1"/>
    <col min="8454" max="8454" width="14.7109375" style="10" customWidth="1"/>
    <col min="8455" max="8455" width="11.5703125" style="10" customWidth="1"/>
    <col min="8456" max="8456" width="0.42578125" style="10" customWidth="1"/>
    <col min="8457" max="8457" width="10.5703125" style="10" bestFit="1" customWidth="1"/>
    <col min="8458" max="8458" width="12.28515625" style="10" customWidth="1"/>
    <col min="8459" max="8459" width="12.5703125" style="10" customWidth="1"/>
    <col min="8460" max="8460" width="10.5703125" style="10" customWidth="1"/>
    <col min="8461" max="8461" width="10.140625" style="10" customWidth="1"/>
    <col min="8462" max="8462" width="8.42578125" style="10" customWidth="1"/>
    <col min="8463" max="8463" width="18.85546875" style="10" customWidth="1"/>
    <col min="8464" max="8464" width="10.28515625" style="10" customWidth="1"/>
    <col min="8465" max="8465" width="11.42578125" style="10"/>
    <col min="8466" max="8466" width="12.140625" style="10" customWidth="1"/>
    <col min="8467" max="8467" width="10.5703125" style="10" customWidth="1"/>
    <col min="8468" max="8468" width="12.42578125" style="10" customWidth="1"/>
    <col min="8469" max="8469" width="15.140625" style="10" customWidth="1"/>
    <col min="8470" max="8470" width="13.5703125" style="10" customWidth="1"/>
    <col min="8471" max="8471" width="13.140625" style="10" customWidth="1"/>
    <col min="8472" max="8472" width="15.7109375" style="10" customWidth="1"/>
    <col min="8473" max="8473" width="37.5703125" style="10" customWidth="1"/>
    <col min="8474" max="8695" width="11.42578125" style="10"/>
    <col min="8696" max="8696" width="10.5703125" style="10" customWidth="1"/>
    <col min="8697" max="8697" width="4.85546875" style="10" customWidth="1"/>
    <col min="8698" max="8698" width="32.42578125" style="10" customWidth="1"/>
    <col min="8699" max="8699" width="9.85546875" style="10" customWidth="1"/>
    <col min="8700" max="8700" width="10.140625" style="10" customWidth="1"/>
    <col min="8701" max="8701" width="12.28515625" style="10" customWidth="1"/>
    <col min="8702" max="8702" width="15.42578125" style="10" customWidth="1"/>
    <col min="8703" max="8703" width="11.85546875" style="10" customWidth="1"/>
    <col min="8704" max="8704" width="13.28515625" style="10" customWidth="1"/>
    <col min="8705" max="8705" width="15.28515625" style="10" customWidth="1"/>
    <col min="8706" max="8706" width="11.85546875" style="10" customWidth="1"/>
    <col min="8707" max="8707" width="6.140625" style="10" customWidth="1"/>
    <col min="8708" max="8708" width="11.85546875" style="10" customWidth="1"/>
    <col min="8709" max="8709" width="9.42578125" style="10" customWidth="1"/>
    <col min="8710" max="8710" width="14.7109375" style="10" customWidth="1"/>
    <col min="8711" max="8711" width="11.5703125" style="10" customWidth="1"/>
    <col min="8712" max="8712" width="0.42578125" style="10" customWidth="1"/>
    <col min="8713" max="8713" width="10.5703125" style="10" bestFit="1" customWidth="1"/>
    <col min="8714" max="8714" width="12.28515625" style="10" customWidth="1"/>
    <col min="8715" max="8715" width="12.5703125" style="10" customWidth="1"/>
    <col min="8716" max="8716" width="10.5703125" style="10" customWidth="1"/>
    <col min="8717" max="8717" width="10.140625" style="10" customWidth="1"/>
    <col min="8718" max="8718" width="8.42578125" style="10" customWidth="1"/>
    <col min="8719" max="8719" width="18.85546875" style="10" customWidth="1"/>
    <col min="8720" max="8720" width="10.28515625" style="10" customWidth="1"/>
    <col min="8721" max="8721" width="11.42578125" style="10"/>
    <col min="8722" max="8722" width="12.140625" style="10" customWidth="1"/>
    <col min="8723" max="8723" width="10.5703125" style="10" customWidth="1"/>
    <col min="8724" max="8724" width="12.42578125" style="10" customWidth="1"/>
    <col min="8725" max="8725" width="15.140625" style="10" customWidth="1"/>
    <col min="8726" max="8726" width="13.5703125" style="10" customWidth="1"/>
    <col min="8727" max="8727" width="13.140625" style="10" customWidth="1"/>
    <col min="8728" max="8728" width="15.7109375" style="10" customWidth="1"/>
    <col min="8729" max="8729" width="37.5703125" style="10" customWidth="1"/>
    <col min="8730" max="8951" width="11.42578125" style="10"/>
    <col min="8952" max="8952" width="10.5703125" style="10" customWidth="1"/>
    <col min="8953" max="8953" width="4.85546875" style="10" customWidth="1"/>
    <col min="8954" max="8954" width="32.42578125" style="10" customWidth="1"/>
    <col min="8955" max="8955" width="9.85546875" style="10" customWidth="1"/>
    <col min="8956" max="8956" width="10.140625" style="10" customWidth="1"/>
    <col min="8957" max="8957" width="12.28515625" style="10" customWidth="1"/>
    <col min="8958" max="8958" width="15.42578125" style="10" customWidth="1"/>
    <col min="8959" max="8959" width="11.85546875" style="10" customWidth="1"/>
    <col min="8960" max="8960" width="13.28515625" style="10" customWidth="1"/>
    <col min="8961" max="8961" width="15.28515625" style="10" customWidth="1"/>
    <col min="8962" max="8962" width="11.85546875" style="10" customWidth="1"/>
    <col min="8963" max="8963" width="6.140625" style="10" customWidth="1"/>
    <col min="8964" max="8964" width="11.85546875" style="10" customWidth="1"/>
    <col min="8965" max="8965" width="9.42578125" style="10" customWidth="1"/>
    <col min="8966" max="8966" width="14.7109375" style="10" customWidth="1"/>
    <col min="8967" max="8967" width="11.5703125" style="10" customWidth="1"/>
    <col min="8968" max="8968" width="0.42578125" style="10" customWidth="1"/>
    <col min="8969" max="8969" width="10.5703125" style="10" bestFit="1" customWidth="1"/>
    <col min="8970" max="8970" width="12.28515625" style="10" customWidth="1"/>
    <col min="8971" max="8971" width="12.5703125" style="10" customWidth="1"/>
    <col min="8972" max="8972" width="10.5703125" style="10" customWidth="1"/>
    <col min="8973" max="8973" width="10.140625" style="10" customWidth="1"/>
    <col min="8974" max="8974" width="8.42578125" style="10" customWidth="1"/>
    <col min="8975" max="8975" width="18.85546875" style="10" customWidth="1"/>
    <col min="8976" max="8976" width="10.28515625" style="10" customWidth="1"/>
    <col min="8977" max="8977" width="11.42578125" style="10"/>
    <col min="8978" max="8978" width="12.140625" style="10" customWidth="1"/>
    <col min="8979" max="8979" width="10.5703125" style="10" customWidth="1"/>
    <col min="8980" max="8980" width="12.42578125" style="10" customWidth="1"/>
    <col min="8981" max="8981" width="15.140625" style="10" customWidth="1"/>
    <col min="8982" max="8982" width="13.5703125" style="10" customWidth="1"/>
    <col min="8983" max="8983" width="13.140625" style="10" customWidth="1"/>
    <col min="8984" max="8984" width="15.7109375" style="10" customWidth="1"/>
    <col min="8985" max="8985" width="37.5703125" style="10" customWidth="1"/>
    <col min="8986" max="9207" width="11.42578125" style="10"/>
    <col min="9208" max="9208" width="10.5703125" style="10" customWidth="1"/>
    <col min="9209" max="9209" width="4.85546875" style="10" customWidth="1"/>
    <col min="9210" max="9210" width="32.42578125" style="10" customWidth="1"/>
    <col min="9211" max="9211" width="9.85546875" style="10" customWidth="1"/>
    <col min="9212" max="9212" width="10.140625" style="10" customWidth="1"/>
    <col min="9213" max="9213" width="12.28515625" style="10" customWidth="1"/>
    <col min="9214" max="9214" width="15.42578125" style="10" customWidth="1"/>
    <col min="9215" max="9215" width="11.85546875" style="10" customWidth="1"/>
    <col min="9216" max="9216" width="13.28515625" style="10" customWidth="1"/>
    <col min="9217" max="9217" width="15.28515625" style="10" customWidth="1"/>
    <col min="9218" max="9218" width="11.85546875" style="10" customWidth="1"/>
    <col min="9219" max="9219" width="6.140625" style="10" customWidth="1"/>
    <col min="9220" max="9220" width="11.85546875" style="10" customWidth="1"/>
    <col min="9221" max="9221" width="9.42578125" style="10" customWidth="1"/>
    <col min="9222" max="9222" width="14.7109375" style="10" customWidth="1"/>
    <col min="9223" max="9223" width="11.5703125" style="10" customWidth="1"/>
    <col min="9224" max="9224" width="0.42578125" style="10" customWidth="1"/>
    <col min="9225" max="9225" width="10.5703125" style="10" bestFit="1" customWidth="1"/>
    <col min="9226" max="9226" width="12.28515625" style="10" customWidth="1"/>
    <col min="9227" max="9227" width="12.5703125" style="10" customWidth="1"/>
    <col min="9228" max="9228" width="10.5703125" style="10" customWidth="1"/>
    <col min="9229" max="9229" width="10.140625" style="10" customWidth="1"/>
    <col min="9230" max="9230" width="8.42578125" style="10" customWidth="1"/>
    <col min="9231" max="9231" width="18.85546875" style="10" customWidth="1"/>
    <col min="9232" max="9232" width="10.28515625" style="10" customWidth="1"/>
    <col min="9233" max="9233" width="11.42578125" style="10"/>
    <col min="9234" max="9234" width="12.140625" style="10" customWidth="1"/>
    <col min="9235" max="9235" width="10.5703125" style="10" customWidth="1"/>
    <col min="9236" max="9236" width="12.42578125" style="10" customWidth="1"/>
    <col min="9237" max="9237" width="15.140625" style="10" customWidth="1"/>
    <col min="9238" max="9238" width="13.5703125" style="10" customWidth="1"/>
    <col min="9239" max="9239" width="13.140625" style="10" customWidth="1"/>
    <col min="9240" max="9240" width="15.7109375" style="10" customWidth="1"/>
    <col min="9241" max="9241" width="37.5703125" style="10" customWidth="1"/>
    <col min="9242" max="9463" width="11.42578125" style="10"/>
    <col min="9464" max="9464" width="10.5703125" style="10" customWidth="1"/>
    <col min="9465" max="9465" width="4.85546875" style="10" customWidth="1"/>
    <col min="9466" max="9466" width="32.42578125" style="10" customWidth="1"/>
    <col min="9467" max="9467" width="9.85546875" style="10" customWidth="1"/>
    <col min="9468" max="9468" width="10.140625" style="10" customWidth="1"/>
    <col min="9469" max="9469" width="12.28515625" style="10" customWidth="1"/>
    <col min="9470" max="9470" width="15.42578125" style="10" customWidth="1"/>
    <col min="9471" max="9471" width="11.85546875" style="10" customWidth="1"/>
    <col min="9472" max="9472" width="13.28515625" style="10" customWidth="1"/>
    <col min="9473" max="9473" width="15.28515625" style="10" customWidth="1"/>
    <col min="9474" max="9474" width="11.85546875" style="10" customWidth="1"/>
    <col min="9475" max="9475" width="6.140625" style="10" customWidth="1"/>
    <col min="9476" max="9476" width="11.85546875" style="10" customWidth="1"/>
    <col min="9477" max="9477" width="9.42578125" style="10" customWidth="1"/>
    <col min="9478" max="9478" width="14.7109375" style="10" customWidth="1"/>
    <col min="9479" max="9479" width="11.5703125" style="10" customWidth="1"/>
    <col min="9480" max="9480" width="0.42578125" style="10" customWidth="1"/>
    <col min="9481" max="9481" width="10.5703125" style="10" bestFit="1" customWidth="1"/>
    <col min="9482" max="9482" width="12.28515625" style="10" customWidth="1"/>
    <col min="9483" max="9483" width="12.5703125" style="10" customWidth="1"/>
    <col min="9484" max="9484" width="10.5703125" style="10" customWidth="1"/>
    <col min="9485" max="9485" width="10.140625" style="10" customWidth="1"/>
    <col min="9486" max="9486" width="8.42578125" style="10" customWidth="1"/>
    <col min="9487" max="9487" width="18.85546875" style="10" customWidth="1"/>
    <col min="9488" max="9488" width="10.28515625" style="10" customWidth="1"/>
    <col min="9489" max="9489" width="11.42578125" style="10"/>
    <col min="9490" max="9490" width="12.140625" style="10" customWidth="1"/>
    <col min="9491" max="9491" width="10.5703125" style="10" customWidth="1"/>
    <col min="9492" max="9492" width="12.42578125" style="10" customWidth="1"/>
    <col min="9493" max="9493" width="15.140625" style="10" customWidth="1"/>
    <col min="9494" max="9494" width="13.5703125" style="10" customWidth="1"/>
    <col min="9495" max="9495" width="13.140625" style="10" customWidth="1"/>
    <col min="9496" max="9496" width="15.7109375" style="10" customWidth="1"/>
    <col min="9497" max="9497" width="37.5703125" style="10" customWidth="1"/>
    <col min="9498" max="9719" width="11.42578125" style="10"/>
    <col min="9720" max="9720" width="10.5703125" style="10" customWidth="1"/>
    <col min="9721" max="9721" width="4.85546875" style="10" customWidth="1"/>
    <col min="9722" max="9722" width="32.42578125" style="10" customWidth="1"/>
    <col min="9723" max="9723" width="9.85546875" style="10" customWidth="1"/>
    <col min="9724" max="9724" width="10.140625" style="10" customWidth="1"/>
    <col min="9725" max="9725" width="12.28515625" style="10" customWidth="1"/>
    <col min="9726" max="9726" width="15.42578125" style="10" customWidth="1"/>
    <col min="9727" max="9727" width="11.85546875" style="10" customWidth="1"/>
    <col min="9728" max="9728" width="13.28515625" style="10" customWidth="1"/>
    <col min="9729" max="9729" width="15.28515625" style="10" customWidth="1"/>
    <col min="9730" max="9730" width="11.85546875" style="10" customWidth="1"/>
    <col min="9731" max="9731" width="6.140625" style="10" customWidth="1"/>
    <col min="9732" max="9732" width="11.85546875" style="10" customWidth="1"/>
    <col min="9733" max="9733" width="9.42578125" style="10" customWidth="1"/>
    <col min="9734" max="9734" width="14.7109375" style="10" customWidth="1"/>
    <col min="9735" max="9735" width="11.5703125" style="10" customWidth="1"/>
    <col min="9736" max="9736" width="0.42578125" style="10" customWidth="1"/>
    <col min="9737" max="9737" width="10.5703125" style="10" bestFit="1" customWidth="1"/>
    <col min="9738" max="9738" width="12.28515625" style="10" customWidth="1"/>
    <col min="9739" max="9739" width="12.5703125" style="10" customWidth="1"/>
    <col min="9740" max="9740" width="10.5703125" style="10" customWidth="1"/>
    <col min="9741" max="9741" width="10.140625" style="10" customWidth="1"/>
    <col min="9742" max="9742" width="8.42578125" style="10" customWidth="1"/>
    <col min="9743" max="9743" width="18.85546875" style="10" customWidth="1"/>
    <col min="9744" max="9744" width="10.28515625" style="10" customWidth="1"/>
    <col min="9745" max="9745" width="11.42578125" style="10"/>
    <col min="9746" max="9746" width="12.140625" style="10" customWidth="1"/>
    <col min="9747" max="9747" width="10.5703125" style="10" customWidth="1"/>
    <col min="9748" max="9748" width="12.42578125" style="10" customWidth="1"/>
    <col min="9749" max="9749" width="15.140625" style="10" customWidth="1"/>
    <col min="9750" max="9750" width="13.5703125" style="10" customWidth="1"/>
    <col min="9751" max="9751" width="13.140625" style="10" customWidth="1"/>
    <col min="9752" max="9752" width="15.7109375" style="10" customWidth="1"/>
    <col min="9753" max="9753" width="37.5703125" style="10" customWidth="1"/>
    <col min="9754" max="9975" width="11.42578125" style="10"/>
    <col min="9976" max="9976" width="10.5703125" style="10" customWidth="1"/>
    <col min="9977" max="9977" width="4.85546875" style="10" customWidth="1"/>
    <col min="9978" max="9978" width="32.42578125" style="10" customWidth="1"/>
    <col min="9979" max="9979" width="9.85546875" style="10" customWidth="1"/>
    <col min="9980" max="9980" width="10.140625" style="10" customWidth="1"/>
    <col min="9981" max="9981" width="12.28515625" style="10" customWidth="1"/>
    <col min="9982" max="9982" width="15.42578125" style="10" customWidth="1"/>
    <col min="9983" max="9983" width="11.85546875" style="10" customWidth="1"/>
    <col min="9984" max="9984" width="13.28515625" style="10" customWidth="1"/>
    <col min="9985" max="9985" width="15.28515625" style="10" customWidth="1"/>
    <col min="9986" max="9986" width="11.85546875" style="10" customWidth="1"/>
    <col min="9987" max="9987" width="6.140625" style="10" customWidth="1"/>
    <col min="9988" max="9988" width="11.85546875" style="10" customWidth="1"/>
    <col min="9989" max="9989" width="9.42578125" style="10" customWidth="1"/>
    <col min="9990" max="9990" width="14.7109375" style="10" customWidth="1"/>
    <col min="9991" max="9991" width="11.5703125" style="10" customWidth="1"/>
    <col min="9992" max="9992" width="0.42578125" style="10" customWidth="1"/>
    <col min="9993" max="9993" width="10.5703125" style="10" bestFit="1" customWidth="1"/>
    <col min="9994" max="9994" width="12.28515625" style="10" customWidth="1"/>
    <col min="9995" max="9995" width="12.5703125" style="10" customWidth="1"/>
    <col min="9996" max="9996" width="10.5703125" style="10" customWidth="1"/>
    <col min="9997" max="9997" width="10.140625" style="10" customWidth="1"/>
    <col min="9998" max="9998" width="8.42578125" style="10" customWidth="1"/>
    <col min="9999" max="9999" width="18.85546875" style="10" customWidth="1"/>
    <col min="10000" max="10000" width="10.28515625" style="10" customWidth="1"/>
    <col min="10001" max="10001" width="11.42578125" style="10"/>
    <col min="10002" max="10002" width="12.140625" style="10" customWidth="1"/>
    <col min="10003" max="10003" width="10.5703125" style="10" customWidth="1"/>
    <col min="10004" max="10004" width="12.42578125" style="10" customWidth="1"/>
    <col min="10005" max="10005" width="15.140625" style="10" customWidth="1"/>
    <col min="10006" max="10006" width="13.5703125" style="10" customWidth="1"/>
    <col min="10007" max="10007" width="13.140625" style="10" customWidth="1"/>
    <col min="10008" max="10008" width="15.7109375" style="10" customWidth="1"/>
    <col min="10009" max="10009" width="37.5703125" style="10" customWidth="1"/>
    <col min="10010" max="10231" width="11.42578125" style="10"/>
    <col min="10232" max="10232" width="10.5703125" style="10" customWidth="1"/>
    <col min="10233" max="10233" width="4.85546875" style="10" customWidth="1"/>
    <col min="10234" max="10234" width="32.42578125" style="10" customWidth="1"/>
    <col min="10235" max="10235" width="9.85546875" style="10" customWidth="1"/>
    <col min="10236" max="10236" width="10.140625" style="10" customWidth="1"/>
    <col min="10237" max="10237" width="12.28515625" style="10" customWidth="1"/>
    <col min="10238" max="10238" width="15.42578125" style="10" customWidth="1"/>
    <col min="10239" max="10239" width="11.85546875" style="10" customWidth="1"/>
    <col min="10240" max="10240" width="13.28515625" style="10" customWidth="1"/>
    <col min="10241" max="10241" width="15.28515625" style="10" customWidth="1"/>
    <col min="10242" max="10242" width="11.85546875" style="10" customWidth="1"/>
    <col min="10243" max="10243" width="6.140625" style="10" customWidth="1"/>
    <col min="10244" max="10244" width="11.85546875" style="10" customWidth="1"/>
    <col min="10245" max="10245" width="9.42578125" style="10" customWidth="1"/>
    <col min="10246" max="10246" width="14.7109375" style="10" customWidth="1"/>
    <col min="10247" max="10247" width="11.5703125" style="10" customWidth="1"/>
    <col min="10248" max="10248" width="0.42578125" style="10" customWidth="1"/>
    <col min="10249" max="10249" width="10.5703125" style="10" bestFit="1" customWidth="1"/>
    <col min="10250" max="10250" width="12.28515625" style="10" customWidth="1"/>
    <col min="10251" max="10251" width="12.5703125" style="10" customWidth="1"/>
    <col min="10252" max="10252" width="10.5703125" style="10" customWidth="1"/>
    <col min="10253" max="10253" width="10.140625" style="10" customWidth="1"/>
    <col min="10254" max="10254" width="8.42578125" style="10" customWidth="1"/>
    <col min="10255" max="10255" width="18.85546875" style="10" customWidth="1"/>
    <col min="10256" max="10256" width="10.28515625" style="10" customWidth="1"/>
    <col min="10257" max="10257" width="11.42578125" style="10"/>
    <col min="10258" max="10258" width="12.140625" style="10" customWidth="1"/>
    <col min="10259" max="10259" width="10.5703125" style="10" customWidth="1"/>
    <col min="10260" max="10260" width="12.42578125" style="10" customWidth="1"/>
    <col min="10261" max="10261" width="15.140625" style="10" customWidth="1"/>
    <col min="10262" max="10262" width="13.5703125" style="10" customWidth="1"/>
    <col min="10263" max="10263" width="13.140625" style="10" customWidth="1"/>
    <col min="10264" max="10264" width="15.7109375" style="10" customWidth="1"/>
    <col min="10265" max="10265" width="37.5703125" style="10" customWidth="1"/>
    <col min="10266" max="10487" width="11.42578125" style="10"/>
    <col min="10488" max="10488" width="10.5703125" style="10" customWidth="1"/>
    <col min="10489" max="10489" width="4.85546875" style="10" customWidth="1"/>
    <col min="10490" max="10490" width="32.42578125" style="10" customWidth="1"/>
    <col min="10491" max="10491" width="9.85546875" style="10" customWidth="1"/>
    <col min="10492" max="10492" width="10.140625" style="10" customWidth="1"/>
    <col min="10493" max="10493" width="12.28515625" style="10" customWidth="1"/>
    <col min="10494" max="10494" width="15.42578125" style="10" customWidth="1"/>
    <col min="10495" max="10495" width="11.85546875" style="10" customWidth="1"/>
    <col min="10496" max="10496" width="13.28515625" style="10" customWidth="1"/>
    <col min="10497" max="10497" width="15.28515625" style="10" customWidth="1"/>
    <col min="10498" max="10498" width="11.85546875" style="10" customWidth="1"/>
    <col min="10499" max="10499" width="6.140625" style="10" customWidth="1"/>
    <col min="10500" max="10500" width="11.85546875" style="10" customWidth="1"/>
    <col min="10501" max="10501" width="9.42578125" style="10" customWidth="1"/>
    <col min="10502" max="10502" width="14.7109375" style="10" customWidth="1"/>
    <col min="10503" max="10503" width="11.5703125" style="10" customWidth="1"/>
    <col min="10504" max="10504" width="0.42578125" style="10" customWidth="1"/>
    <col min="10505" max="10505" width="10.5703125" style="10" bestFit="1" customWidth="1"/>
    <col min="10506" max="10506" width="12.28515625" style="10" customWidth="1"/>
    <col min="10507" max="10507" width="12.5703125" style="10" customWidth="1"/>
    <col min="10508" max="10508" width="10.5703125" style="10" customWidth="1"/>
    <col min="10509" max="10509" width="10.140625" style="10" customWidth="1"/>
    <col min="10510" max="10510" width="8.42578125" style="10" customWidth="1"/>
    <col min="10511" max="10511" width="18.85546875" style="10" customWidth="1"/>
    <col min="10512" max="10512" width="10.28515625" style="10" customWidth="1"/>
    <col min="10513" max="10513" width="11.42578125" style="10"/>
    <col min="10514" max="10514" width="12.140625" style="10" customWidth="1"/>
    <col min="10515" max="10515" width="10.5703125" style="10" customWidth="1"/>
    <col min="10516" max="10516" width="12.42578125" style="10" customWidth="1"/>
    <col min="10517" max="10517" width="15.140625" style="10" customWidth="1"/>
    <col min="10518" max="10518" width="13.5703125" style="10" customWidth="1"/>
    <col min="10519" max="10519" width="13.140625" style="10" customWidth="1"/>
    <col min="10520" max="10520" width="15.7109375" style="10" customWidth="1"/>
    <col min="10521" max="10521" width="37.5703125" style="10" customWidth="1"/>
    <col min="10522" max="10743" width="11.42578125" style="10"/>
    <col min="10744" max="10744" width="10.5703125" style="10" customWidth="1"/>
    <col min="10745" max="10745" width="4.85546875" style="10" customWidth="1"/>
    <col min="10746" max="10746" width="32.42578125" style="10" customWidth="1"/>
    <col min="10747" max="10747" width="9.85546875" style="10" customWidth="1"/>
    <col min="10748" max="10748" width="10.140625" style="10" customWidth="1"/>
    <col min="10749" max="10749" width="12.28515625" style="10" customWidth="1"/>
    <col min="10750" max="10750" width="15.42578125" style="10" customWidth="1"/>
    <col min="10751" max="10751" width="11.85546875" style="10" customWidth="1"/>
    <col min="10752" max="10752" width="13.28515625" style="10" customWidth="1"/>
    <col min="10753" max="10753" width="15.28515625" style="10" customWidth="1"/>
    <col min="10754" max="10754" width="11.85546875" style="10" customWidth="1"/>
    <col min="10755" max="10755" width="6.140625" style="10" customWidth="1"/>
    <col min="10756" max="10756" width="11.85546875" style="10" customWidth="1"/>
    <col min="10757" max="10757" width="9.42578125" style="10" customWidth="1"/>
    <col min="10758" max="10758" width="14.7109375" style="10" customWidth="1"/>
    <col min="10759" max="10759" width="11.5703125" style="10" customWidth="1"/>
    <col min="10760" max="10760" width="0.42578125" style="10" customWidth="1"/>
    <col min="10761" max="10761" width="10.5703125" style="10" bestFit="1" customWidth="1"/>
    <col min="10762" max="10762" width="12.28515625" style="10" customWidth="1"/>
    <col min="10763" max="10763" width="12.5703125" style="10" customWidth="1"/>
    <col min="10764" max="10764" width="10.5703125" style="10" customWidth="1"/>
    <col min="10765" max="10765" width="10.140625" style="10" customWidth="1"/>
    <col min="10766" max="10766" width="8.42578125" style="10" customWidth="1"/>
    <col min="10767" max="10767" width="18.85546875" style="10" customWidth="1"/>
    <col min="10768" max="10768" width="10.28515625" style="10" customWidth="1"/>
    <col min="10769" max="10769" width="11.42578125" style="10"/>
    <col min="10770" max="10770" width="12.140625" style="10" customWidth="1"/>
    <col min="10771" max="10771" width="10.5703125" style="10" customWidth="1"/>
    <col min="10772" max="10772" width="12.42578125" style="10" customWidth="1"/>
    <col min="10773" max="10773" width="15.140625" style="10" customWidth="1"/>
    <col min="10774" max="10774" width="13.5703125" style="10" customWidth="1"/>
    <col min="10775" max="10775" width="13.140625" style="10" customWidth="1"/>
    <col min="10776" max="10776" width="15.7109375" style="10" customWidth="1"/>
    <col min="10777" max="10777" width="37.5703125" style="10" customWidth="1"/>
    <col min="10778" max="10999" width="11.42578125" style="10"/>
    <col min="11000" max="11000" width="10.5703125" style="10" customWidth="1"/>
    <col min="11001" max="11001" width="4.85546875" style="10" customWidth="1"/>
    <col min="11002" max="11002" width="32.42578125" style="10" customWidth="1"/>
    <col min="11003" max="11003" width="9.85546875" style="10" customWidth="1"/>
    <col min="11004" max="11004" width="10.140625" style="10" customWidth="1"/>
    <col min="11005" max="11005" width="12.28515625" style="10" customWidth="1"/>
    <col min="11006" max="11006" width="15.42578125" style="10" customWidth="1"/>
    <col min="11007" max="11007" width="11.85546875" style="10" customWidth="1"/>
    <col min="11008" max="11008" width="13.28515625" style="10" customWidth="1"/>
    <col min="11009" max="11009" width="15.28515625" style="10" customWidth="1"/>
    <col min="11010" max="11010" width="11.85546875" style="10" customWidth="1"/>
    <col min="11011" max="11011" width="6.140625" style="10" customWidth="1"/>
    <col min="11012" max="11012" width="11.85546875" style="10" customWidth="1"/>
    <col min="11013" max="11013" width="9.42578125" style="10" customWidth="1"/>
    <col min="11014" max="11014" width="14.7109375" style="10" customWidth="1"/>
    <col min="11015" max="11015" width="11.5703125" style="10" customWidth="1"/>
    <col min="11016" max="11016" width="0.42578125" style="10" customWidth="1"/>
    <col min="11017" max="11017" width="10.5703125" style="10" bestFit="1" customWidth="1"/>
    <col min="11018" max="11018" width="12.28515625" style="10" customWidth="1"/>
    <col min="11019" max="11019" width="12.5703125" style="10" customWidth="1"/>
    <col min="11020" max="11020" width="10.5703125" style="10" customWidth="1"/>
    <col min="11021" max="11021" width="10.140625" style="10" customWidth="1"/>
    <col min="11022" max="11022" width="8.42578125" style="10" customWidth="1"/>
    <col min="11023" max="11023" width="18.85546875" style="10" customWidth="1"/>
    <col min="11024" max="11024" width="10.28515625" style="10" customWidth="1"/>
    <col min="11025" max="11025" width="11.42578125" style="10"/>
    <col min="11026" max="11026" width="12.140625" style="10" customWidth="1"/>
    <col min="11027" max="11027" width="10.5703125" style="10" customWidth="1"/>
    <col min="11028" max="11028" width="12.42578125" style="10" customWidth="1"/>
    <col min="11029" max="11029" width="15.140625" style="10" customWidth="1"/>
    <col min="11030" max="11030" width="13.5703125" style="10" customWidth="1"/>
    <col min="11031" max="11031" width="13.140625" style="10" customWidth="1"/>
    <col min="11032" max="11032" width="15.7109375" style="10" customWidth="1"/>
    <col min="11033" max="11033" width="37.5703125" style="10" customWidth="1"/>
    <col min="11034" max="11255" width="11.42578125" style="10"/>
    <col min="11256" max="11256" width="10.5703125" style="10" customWidth="1"/>
    <col min="11257" max="11257" width="4.85546875" style="10" customWidth="1"/>
    <col min="11258" max="11258" width="32.42578125" style="10" customWidth="1"/>
    <col min="11259" max="11259" width="9.85546875" style="10" customWidth="1"/>
    <col min="11260" max="11260" width="10.140625" style="10" customWidth="1"/>
    <col min="11261" max="11261" width="12.28515625" style="10" customWidth="1"/>
    <col min="11262" max="11262" width="15.42578125" style="10" customWidth="1"/>
    <col min="11263" max="11263" width="11.85546875" style="10" customWidth="1"/>
    <col min="11264" max="11264" width="13.28515625" style="10" customWidth="1"/>
    <col min="11265" max="11265" width="15.28515625" style="10" customWidth="1"/>
    <col min="11266" max="11266" width="11.85546875" style="10" customWidth="1"/>
    <col min="11267" max="11267" width="6.140625" style="10" customWidth="1"/>
    <col min="11268" max="11268" width="11.85546875" style="10" customWidth="1"/>
    <col min="11269" max="11269" width="9.42578125" style="10" customWidth="1"/>
    <col min="11270" max="11270" width="14.7109375" style="10" customWidth="1"/>
    <col min="11271" max="11271" width="11.5703125" style="10" customWidth="1"/>
    <col min="11272" max="11272" width="0.42578125" style="10" customWidth="1"/>
    <col min="11273" max="11273" width="10.5703125" style="10" bestFit="1" customWidth="1"/>
    <col min="11274" max="11274" width="12.28515625" style="10" customWidth="1"/>
    <col min="11275" max="11275" width="12.5703125" style="10" customWidth="1"/>
    <col min="11276" max="11276" width="10.5703125" style="10" customWidth="1"/>
    <col min="11277" max="11277" width="10.140625" style="10" customWidth="1"/>
    <col min="11278" max="11278" width="8.42578125" style="10" customWidth="1"/>
    <col min="11279" max="11279" width="18.85546875" style="10" customWidth="1"/>
    <col min="11280" max="11280" width="10.28515625" style="10" customWidth="1"/>
    <col min="11281" max="11281" width="11.42578125" style="10"/>
    <col min="11282" max="11282" width="12.140625" style="10" customWidth="1"/>
    <col min="11283" max="11283" width="10.5703125" style="10" customWidth="1"/>
    <col min="11284" max="11284" width="12.42578125" style="10" customWidth="1"/>
    <col min="11285" max="11285" width="15.140625" style="10" customWidth="1"/>
    <col min="11286" max="11286" width="13.5703125" style="10" customWidth="1"/>
    <col min="11287" max="11287" width="13.140625" style="10" customWidth="1"/>
    <col min="11288" max="11288" width="15.7109375" style="10" customWidth="1"/>
    <col min="11289" max="11289" width="37.5703125" style="10" customWidth="1"/>
    <col min="11290" max="11511" width="11.42578125" style="10"/>
    <col min="11512" max="11512" width="10.5703125" style="10" customWidth="1"/>
    <col min="11513" max="11513" width="4.85546875" style="10" customWidth="1"/>
    <col min="11514" max="11514" width="32.42578125" style="10" customWidth="1"/>
    <col min="11515" max="11515" width="9.85546875" style="10" customWidth="1"/>
    <col min="11516" max="11516" width="10.140625" style="10" customWidth="1"/>
    <col min="11517" max="11517" width="12.28515625" style="10" customWidth="1"/>
    <col min="11518" max="11518" width="15.42578125" style="10" customWidth="1"/>
    <col min="11519" max="11519" width="11.85546875" style="10" customWidth="1"/>
    <col min="11520" max="11520" width="13.28515625" style="10" customWidth="1"/>
    <col min="11521" max="11521" width="15.28515625" style="10" customWidth="1"/>
    <col min="11522" max="11522" width="11.85546875" style="10" customWidth="1"/>
    <col min="11523" max="11523" width="6.140625" style="10" customWidth="1"/>
    <col min="11524" max="11524" width="11.85546875" style="10" customWidth="1"/>
    <col min="11525" max="11525" width="9.42578125" style="10" customWidth="1"/>
    <col min="11526" max="11526" width="14.7109375" style="10" customWidth="1"/>
    <col min="11527" max="11527" width="11.5703125" style="10" customWidth="1"/>
    <col min="11528" max="11528" width="0.42578125" style="10" customWidth="1"/>
    <col min="11529" max="11529" width="10.5703125" style="10" bestFit="1" customWidth="1"/>
    <col min="11530" max="11530" width="12.28515625" style="10" customWidth="1"/>
    <col min="11531" max="11531" width="12.5703125" style="10" customWidth="1"/>
    <col min="11532" max="11532" width="10.5703125" style="10" customWidth="1"/>
    <col min="11533" max="11533" width="10.140625" style="10" customWidth="1"/>
    <col min="11534" max="11534" width="8.42578125" style="10" customWidth="1"/>
    <col min="11535" max="11535" width="18.85546875" style="10" customWidth="1"/>
    <col min="11536" max="11536" width="10.28515625" style="10" customWidth="1"/>
    <col min="11537" max="11537" width="11.42578125" style="10"/>
    <col min="11538" max="11538" width="12.140625" style="10" customWidth="1"/>
    <col min="11539" max="11539" width="10.5703125" style="10" customWidth="1"/>
    <col min="11540" max="11540" width="12.42578125" style="10" customWidth="1"/>
    <col min="11541" max="11541" width="15.140625" style="10" customWidth="1"/>
    <col min="11542" max="11542" width="13.5703125" style="10" customWidth="1"/>
    <col min="11543" max="11543" width="13.140625" style="10" customWidth="1"/>
    <col min="11544" max="11544" width="15.7109375" style="10" customWidth="1"/>
    <col min="11545" max="11545" width="37.5703125" style="10" customWidth="1"/>
    <col min="11546" max="11767" width="11.42578125" style="10"/>
    <col min="11768" max="11768" width="10.5703125" style="10" customWidth="1"/>
    <col min="11769" max="11769" width="4.85546875" style="10" customWidth="1"/>
    <col min="11770" max="11770" width="32.42578125" style="10" customWidth="1"/>
    <col min="11771" max="11771" width="9.85546875" style="10" customWidth="1"/>
    <col min="11772" max="11772" width="10.140625" style="10" customWidth="1"/>
    <col min="11773" max="11773" width="12.28515625" style="10" customWidth="1"/>
    <col min="11774" max="11774" width="15.42578125" style="10" customWidth="1"/>
    <col min="11775" max="11775" width="11.85546875" style="10" customWidth="1"/>
    <col min="11776" max="11776" width="13.28515625" style="10" customWidth="1"/>
    <col min="11777" max="11777" width="15.28515625" style="10" customWidth="1"/>
    <col min="11778" max="11778" width="11.85546875" style="10" customWidth="1"/>
    <col min="11779" max="11779" width="6.140625" style="10" customWidth="1"/>
    <col min="11780" max="11780" width="11.85546875" style="10" customWidth="1"/>
    <col min="11781" max="11781" width="9.42578125" style="10" customWidth="1"/>
    <col min="11782" max="11782" width="14.7109375" style="10" customWidth="1"/>
    <col min="11783" max="11783" width="11.5703125" style="10" customWidth="1"/>
    <col min="11784" max="11784" width="0.42578125" style="10" customWidth="1"/>
    <col min="11785" max="11785" width="10.5703125" style="10" bestFit="1" customWidth="1"/>
    <col min="11786" max="11786" width="12.28515625" style="10" customWidth="1"/>
    <col min="11787" max="11787" width="12.5703125" style="10" customWidth="1"/>
    <col min="11788" max="11788" width="10.5703125" style="10" customWidth="1"/>
    <col min="11789" max="11789" width="10.140625" style="10" customWidth="1"/>
    <col min="11790" max="11790" width="8.42578125" style="10" customWidth="1"/>
    <col min="11791" max="11791" width="18.85546875" style="10" customWidth="1"/>
    <col min="11792" max="11792" width="10.28515625" style="10" customWidth="1"/>
    <col min="11793" max="11793" width="11.42578125" style="10"/>
    <col min="11794" max="11794" width="12.140625" style="10" customWidth="1"/>
    <col min="11795" max="11795" width="10.5703125" style="10" customWidth="1"/>
    <col min="11796" max="11796" width="12.42578125" style="10" customWidth="1"/>
    <col min="11797" max="11797" width="15.140625" style="10" customWidth="1"/>
    <col min="11798" max="11798" width="13.5703125" style="10" customWidth="1"/>
    <col min="11799" max="11799" width="13.140625" style="10" customWidth="1"/>
    <col min="11800" max="11800" width="15.7109375" style="10" customWidth="1"/>
    <col min="11801" max="11801" width="37.5703125" style="10" customWidth="1"/>
    <col min="11802" max="12023" width="11.42578125" style="10"/>
    <col min="12024" max="12024" width="10.5703125" style="10" customWidth="1"/>
    <col min="12025" max="12025" width="4.85546875" style="10" customWidth="1"/>
    <col min="12026" max="12026" width="32.42578125" style="10" customWidth="1"/>
    <col min="12027" max="12027" width="9.85546875" style="10" customWidth="1"/>
    <col min="12028" max="12028" width="10.140625" style="10" customWidth="1"/>
    <col min="12029" max="12029" width="12.28515625" style="10" customWidth="1"/>
    <col min="12030" max="12030" width="15.42578125" style="10" customWidth="1"/>
    <col min="12031" max="12031" width="11.85546875" style="10" customWidth="1"/>
    <col min="12032" max="12032" width="13.28515625" style="10" customWidth="1"/>
    <col min="12033" max="12033" width="15.28515625" style="10" customWidth="1"/>
    <col min="12034" max="12034" width="11.85546875" style="10" customWidth="1"/>
    <col min="12035" max="12035" width="6.140625" style="10" customWidth="1"/>
    <col min="12036" max="12036" width="11.85546875" style="10" customWidth="1"/>
    <col min="12037" max="12037" width="9.42578125" style="10" customWidth="1"/>
    <col min="12038" max="12038" width="14.7109375" style="10" customWidth="1"/>
    <col min="12039" max="12039" width="11.5703125" style="10" customWidth="1"/>
    <col min="12040" max="12040" width="0.42578125" style="10" customWidth="1"/>
    <col min="12041" max="12041" width="10.5703125" style="10" bestFit="1" customWidth="1"/>
    <col min="12042" max="12042" width="12.28515625" style="10" customWidth="1"/>
    <col min="12043" max="12043" width="12.5703125" style="10" customWidth="1"/>
    <col min="12044" max="12044" width="10.5703125" style="10" customWidth="1"/>
    <col min="12045" max="12045" width="10.140625" style="10" customWidth="1"/>
    <col min="12046" max="12046" width="8.42578125" style="10" customWidth="1"/>
    <col min="12047" max="12047" width="18.85546875" style="10" customWidth="1"/>
    <col min="12048" max="12048" width="10.28515625" style="10" customWidth="1"/>
    <col min="12049" max="12049" width="11.42578125" style="10"/>
    <col min="12050" max="12050" width="12.140625" style="10" customWidth="1"/>
    <col min="12051" max="12051" width="10.5703125" style="10" customWidth="1"/>
    <col min="12052" max="12052" width="12.42578125" style="10" customWidth="1"/>
    <col min="12053" max="12053" width="15.140625" style="10" customWidth="1"/>
    <col min="12054" max="12054" width="13.5703125" style="10" customWidth="1"/>
    <col min="12055" max="12055" width="13.140625" style="10" customWidth="1"/>
    <col min="12056" max="12056" width="15.7109375" style="10" customWidth="1"/>
    <col min="12057" max="12057" width="37.5703125" style="10" customWidth="1"/>
    <col min="12058" max="12279" width="11.42578125" style="10"/>
    <col min="12280" max="12280" width="10.5703125" style="10" customWidth="1"/>
    <col min="12281" max="12281" width="4.85546875" style="10" customWidth="1"/>
    <col min="12282" max="12282" width="32.42578125" style="10" customWidth="1"/>
    <col min="12283" max="12283" width="9.85546875" style="10" customWidth="1"/>
    <col min="12284" max="12284" width="10.140625" style="10" customWidth="1"/>
    <col min="12285" max="12285" width="12.28515625" style="10" customWidth="1"/>
    <col min="12286" max="12286" width="15.42578125" style="10" customWidth="1"/>
    <col min="12287" max="12287" width="11.85546875" style="10" customWidth="1"/>
    <col min="12288" max="12288" width="13.28515625" style="10" customWidth="1"/>
    <col min="12289" max="12289" width="15.28515625" style="10" customWidth="1"/>
    <col min="12290" max="12290" width="11.85546875" style="10" customWidth="1"/>
    <col min="12291" max="12291" width="6.140625" style="10" customWidth="1"/>
    <col min="12292" max="12292" width="11.85546875" style="10" customWidth="1"/>
    <col min="12293" max="12293" width="9.42578125" style="10" customWidth="1"/>
    <col min="12294" max="12294" width="14.7109375" style="10" customWidth="1"/>
    <col min="12295" max="12295" width="11.5703125" style="10" customWidth="1"/>
    <col min="12296" max="12296" width="0.42578125" style="10" customWidth="1"/>
    <col min="12297" max="12297" width="10.5703125" style="10" bestFit="1" customWidth="1"/>
    <col min="12298" max="12298" width="12.28515625" style="10" customWidth="1"/>
    <col min="12299" max="12299" width="12.5703125" style="10" customWidth="1"/>
    <col min="12300" max="12300" width="10.5703125" style="10" customWidth="1"/>
    <col min="12301" max="12301" width="10.140625" style="10" customWidth="1"/>
    <col min="12302" max="12302" width="8.42578125" style="10" customWidth="1"/>
    <col min="12303" max="12303" width="18.85546875" style="10" customWidth="1"/>
    <col min="12304" max="12304" width="10.28515625" style="10" customWidth="1"/>
    <col min="12305" max="12305" width="11.42578125" style="10"/>
    <col min="12306" max="12306" width="12.140625" style="10" customWidth="1"/>
    <col min="12307" max="12307" width="10.5703125" style="10" customWidth="1"/>
    <col min="12308" max="12308" width="12.42578125" style="10" customWidth="1"/>
    <col min="12309" max="12309" width="15.140625" style="10" customWidth="1"/>
    <col min="12310" max="12310" width="13.5703125" style="10" customWidth="1"/>
    <col min="12311" max="12311" width="13.140625" style="10" customWidth="1"/>
    <col min="12312" max="12312" width="15.7109375" style="10" customWidth="1"/>
    <col min="12313" max="12313" width="37.5703125" style="10" customWidth="1"/>
    <col min="12314" max="12535" width="11.42578125" style="10"/>
    <col min="12536" max="12536" width="10.5703125" style="10" customWidth="1"/>
    <col min="12537" max="12537" width="4.85546875" style="10" customWidth="1"/>
    <col min="12538" max="12538" width="32.42578125" style="10" customWidth="1"/>
    <col min="12539" max="12539" width="9.85546875" style="10" customWidth="1"/>
    <col min="12540" max="12540" width="10.140625" style="10" customWidth="1"/>
    <col min="12541" max="12541" width="12.28515625" style="10" customWidth="1"/>
    <col min="12542" max="12542" width="15.42578125" style="10" customWidth="1"/>
    <col min="12543" max="12543" width="11.85546875" style="10" customWidth="1"/>
    <col min="12544" max="12544" width="13.28515625" style="10" customWidth="1"/>
    <col min="12545" max="12545" width="15.28515625" style="10" customWidth="1"/>
    <col min="12546" max="12546" width="11.85546875" style="10" customWidth="1"/>
    <col min="12547" max="12547" width="6.140625" style="10" customWidth="1"/>
    <col min="12548" max="12548" width="11.85546875" style="10" customWidth="1"/>
    <col min="12549" max="12549" width="9.42578125" style="10" customWidth="1"/>
    <col min="12550" max="12550" width="14.7109375" style="10" customWidth="1"/>
    <col min="12551" max="12551" width="11.5703125" style="10" customWidth="1"/>
    <col min="12552" max="12552" width="0.42578125" style="10" customWidth="1"/>
    <col min="12553" max="12553" width="10.5703125" style="10" bestFit="1" customWidth="1"/>
    <col min="12554" max="12554" width="12.28515625" style="10" customWidth="1"/>
    <col min="12555" max="12555" width="12.5703125" style="10" customWidth="1"/>
    <col min="12556" max="12556" width="10.5703125" style="10" customWidth="1"/>
    <col min="12557" max="12557" width="10.140625" style="10" customWidth="1"/>
    <col min="12558" max="12558" width="8.42578125" style="10" customWidth="1"/>
    <col min="12559" max="12559" width="18.85546875" style="10" customWidth="1"/>
    <col min="12560" max="12560" width="10.28515625" style="10" customWidth="1"/>
    <col min="12561" max="12561" width="11.42578125" style="10"/>
    <col min="12562" max="12562" width="12.140625" style="10" customWidth="1"/>
    <col min="12563" max="12563" width="10.5703125" style="10" customWidth="1"/>
    <col min="12564" max="12564" width="12.42578125" style="10" customWidth="1"/>
    <col min="12565" max="12565" width="15.140625" style="10" customWidth="1"/>
    <col min="12566" max="12566" width="13.5703125" style="10" customWidth="1"/>
    <col min="12567" max="12567" width="13.140625" style="10" customWidth="1"/>
    <col min="12568" max="12568" width="15.7109375" style="10" customWidth="1"/>
    <col min="12569" max="12569" width="37.5703125" style="10" customWidth="1"/>
    <col min="12570" max="12791" width="11.42578125" style="10"/>
    <col min="12792" max="12792" width="10.5703125" style="10" customWidth="1"/>
    <col min="12793" max="12793" width="4.85546875" style="10" customWidth="1"/>
    <col min="12794" max="12794" width="32.42578125" style="10" customWidth="1"/>
    <col min="12795" max="12795" width="9.85546875" style="10" customWidth="1"/>
    <col min="12796" max="12796" width="10.140625" style="10" customWidth="1"/>
    <col min="12797" max="12797" width="12.28515625" style="10" customWidth="1"/>
    <col min="12798" max="12798" width="15.42578125" style="10" customWidth="1"/>
    <col min="12799" max="12799" width="11.85546875" style="10" customWidth="1"/>
    <col min="12800" max="12800" width="13.28515625" style="10" customWidth="1"/>
    <col min="12801" max="12801" width="15.28515625" style="10" customWidth="1"/>
    <col min="12802" max="12802" width="11.85546875" style="10" customWidth="1"/>
    <col min="12803" max="12803" width="6.140625" style="10" customWidth="1"/>
    <col min="12804" max="12804" width="11.85546875" style="10" customWidth="1"/>
    <col min="12805" max="12805" width="9.42578125" style="10" customWidth="1"/>
    <col min="12806" max="12806" width="14.7109375" style="10" customWidth="1"/>
    <col min="12807" max="12807" width="11.5703125" style="10" customWidth="1"/>
    <col min="12808" max="12808" width="0.42578125" style="10" customWidth="1"/>
    <col min="12809" max="12809" width="10.5703125" style="10" bestFit="1" customWidth="1"/>
    <col min="12810" max="12810" width="12.28515625" style="10" customWidth="1"/>
    <col min="12811" max="12811" width="12.5703125" style="10" customWidth="1"/>
    <col min="12812" max="12812" width="10.5703125" style="10" customWidth="1"/>
    <col min="12813" max="12813" width="10.140625" style="10" customWidth="1"/>
    <col min="12814" max="12814" width="8.42578125" style="10" customWidth="1"/>
    <col min="12815" max="12815" width="18.85546875" style="10" customWidth="1"/>
    <col min="12816" max="12816" width="10.28515625" style="10" customWidth="1"/>
    <col min="12817" max="12817" width="11.42578125" style="10"/>
    <col min="12818" max="12818" width="12.140625" style="10" customWidth="1"/>
    <col min="12819" max="12819" width="10.5703125" style="10" customWidth="1"/>
    <col min="12820" max="12820" width="12.42578125" style="10" customWidth="1"/>
    <col min="12821" max="12821" width="15.140625" style="10" customWidth="1"/>
    <col min="12822" max="12822" width="13.5703125" style="10" customWidth="1"/>
    <col min="12823" max="12823" width="13.140625" style="10" customWidth="1"/>
    <col min="12824" max="12824" width="15.7109375" style="10" customWidth="1"/>
    <col min="12825" max="12825" width="37.5703125" style="10" customWidth="1"/>
    <col min="12826" max="13047" width="11.42578125" style="10"/>
    <col min="13048" max="13048" width="10.5703125" style="10" customWidth="1"/>
    <col min="13049" max="13049" width="4.85546875" style="10" customWidth="1"/>
    <col min="13050" max="13050" width="32.42578125" style="10" customWidth="1"/>
    <col min="13051" max="13051" width="9.85546875" style="10" customWidth="1"/>
    <col min="13052" max="13052" width="10.140625" style="10" customWidth="1"/>
    <col min="13053" max="13053" width="12.28515625" style="10" customWidth="1"/>
    <col min="13054" max="13054" width="15.42578125" style="10" customWidth="1"/>
    <col min="13055" max="13055" width="11.85546875" style="10" customWidth="1"/>
    <col min="13056" max="13056" width="13.28515625" style="10" customWidth="1"/>
    <col min="13057" max="13057" width="15.28515625" style="10" customWidth="1"/>
    <col min="13058" max="13058" width="11.85546875" style="10" customWidth="1"/>
    <col min="13059" max="13059" width="6.140625" style="10" customWidth="1"/>
    <col min="13060" max="13060" width="11.85546875" style="10" customWidth="1"/>
    <col min="13061" max="13061" width="9.42578125" style="10" customWidth="1"/>
    <col min="13062" max="13062" width="14.7109375" style="10" customWidth="1"/>
    <col min="13063" max="13063" width="11.5703125" style="10" customWidth="1"/>
    <col min="13064" max="13064" width="0.42578125" style="10" customWidth="1"/>
    <col min="13065" max="13065" width="10.5703125" style="10" bestFit="1" customWidth="1"/>
    <col min="13066" max="13066" width="12.28515625" style="10" customWidth="1"/>
    <col min="13067" max="13067" width="12.5703125" style="10" customWidth="1"/>
    <col min="13068" max="13068" width="10.5703125" style="10" customWidth="1"/>
    <col min="13069" max="13069" width="10.140625" style="10" customWidth="1"/>
    <col min="13070" max="13070" width="8.42578125" style="10" customWidth="1"/>
    <col min="13071" max="13071" width="18.85546875" style="10" customWidth="1"/>
    <col min="13072" max="13072" width="10.28515625" style="10" customWidth="1"/>
    <col min="13073" max="13073" width="11.42578125" style="10"/>
    <col min="13074" max="13074" width="12.140625" style="10" customWidth="1"/>
    <col min="13075" max="13075" width="10.5703125" style="10" customWidth="1"/>
    <col min="13076" max="13076" width="12.42578125" style="10" customWidth="1"/>
    <col min="13077" max="13077" width="15.140625" style="10" customWidth="1"/>
    <col min="13078" max="13078" width="13.5703125" style="10" customWidth="1"/>
    <col min="13079" max="13079" width="13.140625" style="10" customWidth="1"/>
    <col min="13080" max="13080" width="15.7109375" style="10" customWidth="1"/>
    <col min="13081" max="13081" width="37.5703125" style="10" customWidth="1"/>
    <col min="13082" max="13303" width="11.42578125" style="10"/>
    <col min="13304" max="13304" width="10.5703125" style="10" customWidth="1"/>
    <col min="13305" max="13305" width="4.85546875" style="10" customWidth="1"/>
    <col min="13306" max="13306" width="32.42578125" style="10" customWidth="1"/>
    <col min="13307" max="13307" width="9.85546875" style="10" customWidth="1"/>
    <col min="13308" max="13308" width="10.140625" style="10" customWidth="1"/>
    <col min="13309" max="13309" width="12.28515625" style="10" customWidth="1"/>
    <col min="13310" max="13310" width="15.42578125" style="10" customWidth="1"/>
    <col min="13311" max="13311" width="11.85546875" style="10" customWidth="1"/>
    <col min="13312" max="13312" width="13.28515625" style="10" customWidth="1"/>
    <col min="13313" max="13313" width="15.28515625" style="10" customWidth="1"/>
    <col min="13314" max="13314" width="11.85546875" style="10" customWidth="1"/>
    <col min="13315" max="13315" width="6.140625" style="10" customWidth="1"/>
    <col min="13316" max="13316" width="11.85546875" style="10" customWidth="1"/>
    <col min="13317" max="13317" width="9.42578125" style="10" customWidth="1"/>
    <col min="13318" max="13318" width="14.7109375" style="10" customWidth="1"/>
    <col min="13319" max="13319" width="11.5703125" style="10" customWidth="1"/>
    <col min="13320" max="13320" width="0.42578125" style="10" customWidth="1"/>
    <col min="13321" max="13321" width="10.5703125" style="10" bestFit="1" customWidth="1"/>
    <col min="13322" max="13322" width="12.28515625" style="10" customWidth="1"/>
    <col min="13323" max="13323" width="12.5703125" style="10" customWidth="1"/>
    <col min="13324" max="13324" width="10.5703125" style="10" customWidth="1"/>
    <col min="13325" max="13325" width="10.140625" style="10" customWidth="1"/>
    <col min="13326" max="13326" width="8.42578125" style="10" customWidth="1"/>
    <col min="13327" max="13327" width="18.85546875" style="10" customWidth="1"/>
    <col min="13328" max="13328" width="10.28515625" style="10" customWidth="1"/>
    <col min="13329" max="13329" width="11.42578125" style="10"/>
    <col min="13330" max="13330" width="12.140625" style="10" customWidth="1"/>
    <col min="13331" max="13331" width="10.5703125" style="10" customWidth="1"/>
    <col min="13332" max="13332" width="12.42578125" style="10" customWidth="1"/>
    <col min="13333" max="13333" width="15.140625" style="10" customWidth="1"/>
    <col min="13334" max="13334" width="13.5703125" style="10" customWidth="1"/>
    <col min="13335" max="13335" width="13.140625" style="10" customWidth="1"/>
    <col min="13336" max="13336" width="15.7109375" style="10" customWidth="1"/>
    <col min="13337" max="13337" width="37.5703125" style="10" customWidth="1"/>
    <col min="13338" max="13559" width="11.42578125" style="10"/>
    <col min="13560" max="13560" width="10.5703125" style="10" customWidth="1"/>
    <col min="13561" max="13561" width="4.85546875" style="10" customWidth="1"/>
    <col min="13562" max="13562" width="32.42578125" style="10" customWidth="1"/>
    <col min="13563" max="13563" width="9.85546875" style="10" customWidth="1"/>
    <col min="13564" max="13564" width="10.140625" style="10" customWidth="1"/>
    <col min="13565" max="13565" width="12.28515625" style="10" customWidth="1"/>
    <col min="13566" max="13566" width="15.42578125" style="10" customWidth="1"/>
    <col min="13567" max="13567" width="11.85546875" style="10" customWidth="1"/>
    <col min="13568" max="13568" width="13.28515625" style="10" customWidth="1"/>
    <col min="13569" max="13569" width="15.28515625" style="10" customWidth="1"/>
    <col min="13570" max="13570" width="11.85546875" style="10" customWidth="1"/>
    <col min="13571" max="13571" width="6.140625" style="10" customWidth="1"/>
    <col min="13572" max="13572" width="11.85546875" style="10" customWidth="1"/>
    <col min="13573" max="13573" width="9.42578125" style="10" customWidth="1"/>
    <col min="13574" max="13574" width="14.7109375" style="10" customWidth="1"/>
    <col min="13575" max="13575" width="11.5703125" style="10" customWidth="1"/>
    <col min="13576" max="13576" width="0.42578125" style="10" customWidth="1"/>
    <col min="13577" max="13577" width="10.5703125" style="10" bestFit="1" customWidth="1"/>
    <col min="13578" max="13578" width="12.28515625" style="10" customWidth="1"/>
    <col min="13579" max="13579" width="12.5703125" style="10" customWidth="1"/>
    <col min="13580" max="13580" width="10.5703125" style="10" customWidth="1"/>
    <col min="13581" max="13581" width="10.140625" style="10" customWidth="1"/>
    <col min="13582" max="13582" width="8.42578125" style="10" customWidth="1"/>
    <col min="13583" max="13583" width="18.85546875" style="10" customWidth="1"/>
    <col min="13584" max="13584" width="10.28515625" style="10" customWidth="1"/>
    <col min="13585" max="13585" width="11.42578125" style="10"/>
    <col min="13586" max="13586" width="12.140625" style="10" customWidth="1"/>
    <col min="13587" max="13587" width="10.5703125" style="10" customWidth="1"/>
    <col min="13588" max="13588" width="12.42578125" style="10" customWidth="1"/>
    <col min="13589" max="13589" width="15.140625" style="10" customWidth="1"/>
    <col min="13590" max="13590" width="13.5703125" style="10" customWidth="1"/>
    <col min="13591" max="13591" width="13.140625" style="10" customWidth="1"/>
    <col min="13592" max="13592" width="15.7109375" style="10" customWidth="1"/>
    <col min="13593" max="13593" width="37.5703125" style="10" customWidth="1"/>
    <col min="13594" max="13815" width="11.42578125" style="10"/>
    <col min="13816" max="13816" width="10.5703125" style="10" customWidth="1"/>
    <col min="13817" max="13817" width="4.85546875" style="10" customWidth="1"/>
    <col min="13818" max="13818" width="32.42578125" style="10" customWidth="1"/>
    <col min="13819" max="13819" width="9.85546875" style="10" customWidth="1"/>
    <col min="13820" max="13820" width="10.140625" style="10" customWidth="1"/>
    <col min="13821" max="13821" width="12.28515625" style="10" customWidth="1"/>
    <col min="13822" max="13822" width="15.42578125" style="10" customWidth="1"/>
    <col min="13823" max="13823" width="11.85546875" style="10" customWidth="1"/>
    <col min="13824" max="13824" width="13.28515625" style="10" customWidth="1"/>
    <col min="13825" max="13825" width="15.28515625" style="10" customWidth="1"/>
    <col min="13826" max="13826" width="11.85546875" style="10" customWidth="1"/>
    <col min="13827" max="13827" width="6.140625" style="10" customWidth="1"/>
    <col min="13828" max="13828" width="11.85546875" style="10" customWidth="1"/>
    <col min="13829" max="13829" width="9.42578125" style="10" customWidth="1"/>
    <col min="13830" max="13830" width="14.7109375" style="10" customWidth="1"/>
    <col min="13831" max="13831" width="11.5703125" style="10" customWidth="1"/>
    <col min="13832" max="13832" width="0.42578125" style="10" customWidth="1"/>
    <col min="13833" max="13833" width="10.5703125" style="10" bestFit="1" customWidth="1"/>
    <col min="13834" max="13834" width="12.28515625" style="10" customWidth="1"/>
    <col min="13835" max="13835" width="12.5703125" style="10" customWidth="1"/>
    <col min="13836" max="13836" width="10.5703125" style="10" customWidth="1"/>
    <col min="13837" max="13837" width="10.140625" style="10" customWidth="1"/>
    <col min="13838" max="13838" width="8.42578125" style="10" customWidth="1"/>
    <col min="13839" max="13839" width="18.85546875" style="10" customWidth="1"/>
    <col min="13840" max="13840" width="10.28515625" style="10" customWidth="1"/>
    <col min="13841" max="13841" width="11.42578125" style="10"/>
    <col min="13842" max="13842" width="12.140625" style="10" customWidth="1"/>
    <col min="13843" max="13843" width="10.5703125" style="10" customWidth="1"/>
    <col min="13844" max="13844" width="12.42578125" style="10" customWidth="1"/>
    <col min="13845" max="13845" width="15.140625" style="10" customWidth="1"/>
    <col min="13846" max="13846" width="13.5703125" style="10" customWidth="1"/>
    <col min="13847" max="13847" width="13.140625" style="10" customWidth="1"/>
    <col min="13848" max="13848" width="15.7109375" style="10" customWidth="1"/>
    <col min="13849" max="13849" width="37.5703125" style="10" customWidth="1"/>
    <col min="13850" max="14071" width="11.42578125" style="10"/>
    <col min="14072" max="14072" width="10.5703125" style="10" customWidth="1"/>
    <col min="14073" max="14073" width="4.85546875" style="10" customWidth="1"/>
    <col min="14074" max="14074" width="32.42578125" style="10" customWidth="1"/>
    <col min="14075" max="14075" width="9.85546875" style="10" customWidth="1"/>
    <col min="14076" max="14076" width="10.140625" style="10" customWidth="1"/>
    <col min="14077" max="14077" width="12.28515625" style="10" customWidth="1"/>
    <col min="14078" max="14078" width="15.42578125" style="10" customWidth="1"/>
    <col min="14079" max="14079" width="11.85546875" style="10" customWidth="1"/>
    <col min="14080" max="14080" width="13.28515625" style="10" customWidth="1"/>
    <col min="14081" max="14081" width="15.28515625" style="10" customWidth="1"/>
    <col min="14082" max="14082" width="11.85546875" style="10" customWidth="1"/>
    <col min="14083" max="14083" width="6.140625" style="10" customWidth="1"/>
    <col min="14084" max="14084" width="11.85546875" style="10" customWidth="1"/>
    <col min="14085" max="14085" width="9.42578125" style="10" customWidth="1"/>
    <col min="14086" max="14086" width="14.7109375" style="10" customWidth="1"/>
    <col min="14087" max="14087" width="11.5703125" style="10" customWidth="1"/>
    <col min="14088" max="14088" width="0.42578125" style="10" customWidth="1"/>
    <col min="14089" max="14089" width="10.5703125" style="10" bestFit="1" customWidth="1"/>
    <col min="14090" max="14090" width="12.28515625" style="10" customWidth="1"/>
    <col min="14091" max="14091" width="12.5703125" style="10" customWidth="1"/>
    <col min="14092" max="14092" width="10.5703125" style="10" customWidth="1"/>
    <col min="14093" max="14093" width="10.140625" style="10" customWidth="1"/>
    <col min="14094" max="14094" width="8.42578125" style="10" customWidth="1"/>
    <col min="14095" max="14095" width="18.85546875" style="10" customWidth="1"/>
    <col min="14096" max="14096" width="10.28515625" style="10" customWidth="1"/>
    <col min="14097" max="14097" width="11.42578125" style="10"/>
    <col min="14098" max="14098" width="12.140625" style="10" customWidth="1"/>
    <col min="14099" max="14099" width="10.5703125" style="10" customWidth="1"/>
    <col min="14100" max="14100" width="12.42578125" style="10" customWidth="1"/>
    <col min="14101" max="14101" width="15.140625" style="10" customWidth="1"/>
    <col min="14102" max="14102" width="13.5703125" style="10" customWidth="1"/>
    <col min="14103" max="14103" width="13.140625" style="10" customWidth="1"/>
    <col min="14104" max="14104" width="15.7109375" style="10" customWidth="1"/>
    <col min="14105" max="14105" width="37.5703125" style="10" customWidth="1"/>
    <col min="14106" max="14327" width="11.42578125" style="10"/>
    <col min="14328" max="14328" width="10.5703125" style="10" customWidth="1"/>
    <col min="14329" max="14329" width="4.85546875" style="10" customWidth="1"/>
    <col min="14330" max="14330" width="32.42578125" style="10" customWidth="1"/>
    <col min="14331" max="14331" width="9.85546875" style="10" customWidth="1"/>
    <col min="14332" max="14332" width="10.140625" style="10" customWidth="1"/>
    <col min="14333" max="14333" width="12.28515625" style="10" customWidth="1"/>
    <col min="14334" max="14334" width="15.42578125" style="10" customWidth="1"/>
    <col min="14335" max="14335" width="11.85546875" style="10" customWidth="1"/>
    <col min="14336" max="14336" width="13.28515625" style="10" customWidth="1"/>
    <col min="14337" max="14337" width="15.28515625" style="10" customWidth="1"/>
    <col min="14338" max="14338" width="11.85546875" style="10" customWidth="1"/>
    <col min="14339" max="14339" width="6.140625" style="10" customWidth="1"/>
    <col min="14340" max="14340" width="11.85546875" style="10" customWidth="1"/>
    <col min="14341" max="14341" width="9.42578125" style="10" customWidth="1"/>
    <col min="14342" max="14342" width="14.7109375" style="10" customWidth="1"/>
    <col min="14343" max="14343" width="11.5703125" style="10" customWidth="1"/>
    <col min="14344" max="14344" width="0.42578125" style="10" customWidth="1"/>
    <col min="14345" max="14345" width="10.5703125" style="10" bestFit="1" customWidth="1"/>
    <col min="14346" max="14346" width="12.28515625" style="10" customWidth="1"/>
    <col min="14347" max="14347" width="12.5703125" style="10" customWidth="1"/>
    <col min="14348" max="14348" width="10.5703125" style="10" customWidth="1"/>
    <col min="14349" max="14349" width="10.140625" style="10" customWidth="1"/>
    <col min="14350" max="14350" width="8.42578125" style="10" customWidth="1"/>
    <col min="14351" max="14351" width="18.85546875" style="10" customWidth="1"/>
    <col min="14352" max="14352" width="10.28515625" style="10" customWidth="1"/>
    <col min="14353" max="14353" width="11.42578125" style="10"/>
    <col min="14354" max="14354" width="12.140625" style="10" customWidth="1"/>
    <col min="14355" max="14355" width="10.5703125" style="10" customWidth="1"/>
    <col min="14356" max="14356" width="12.42578125" style="10" customWidth="1"/>
    <col min="14357" max="14357" width="15.140625" style="10" customWidth="1"/>
    <col min="14358" max="14358" width="13.5703125" style="10" customWidth="1"/>
    <col min="14359" max="14359" width="13.140625" style="10" customWidth="1"/>
    <col min="14360" max="14360" width="15.7109375" style="10" customWidth="1"/>
    <col min="14361" max="14361" width="37.5703125" style="10" customWidth="1"/>
    <col min="14362" max="14583" width="11.42578125" style="10"/>
    <col min="14584" max="14584" width="10.5703125" style="10" customWidth="1"/>
    <col min="14585" max="14585" width="4.85546875" style="10" customWidth="1"/>
    <col min="14586" max="14586" width="32.42578125" style="10" customWidth="1"/>
    <col min="14587" max="14587" width="9.85546875" style="10" customWidth="1"/>
    <col min="14588" max="14588" width="10.140625" style="10" customWidth="1"/>
    <col min="14589" max="14589" width="12.28515625" style="10" customWidth="1"/>
    <col min="14590" max="14590" width="15.42578125" style="10" customWidth="1"/>
    <col min="14591" max="14591" width="11.85546875" style="10" customWidth="1"/>
    <col min="14592" max="14592" width="13.28515625" style="10" customWidth="1"/>
    <col min="14593" max="14593" width="15.28515625" style="10" customWidth="1"/>
    <col min="14594" max="14594" width="11.85546875" style="10" customWidth="1"/>
    <col min="14595" max="14595" width="6.140625" style="10" customWidth="1"/>
    <col min="14596" max="14596" width="11.85546875" style="10" customWidth="1"/>
    <col min="14597" max="14597" width="9.42578125" style="10" customWidth="1"/>
    <col min="14598" max="14598" width="14.7109375" style="10" customWidth="1"/>
    <col min="14599" max="14599" width="11.5703125" style="10" customWidth="1"/>
    <col min="14600" max="14600" width="0.42578125" style="10" customWidth="1"/>
    <col min="14601" max="14601" width="10.5703125" style="10" bestFit="1" customWidth="1"/>
    <col min="14602" max="14602" width="12.28515625" style="10" customWidth="1"/>
    <col min="14603" max="14603" width="12.5703125" style="10" customWidth="1"/>
    <col min="14604" max="14604" width="10.5703125" style="10" customWidth="1"/>
    <col min="14605" max="14605" width="10.140625" style="10" customWidth="1"/>
    <col min="14606" max="14606" width="8.42578125" style="10" customWidth="1"/>
    <col min="14607" max="14607" width="18.85546875" style="10" customWidth="1"/>
    <col min="14608" max="14608" width="10.28515625" style="10" customWidth="1"/>
    <col min="14609" max="14609" width="11.42578125" style="10"/>
    <col min="14610" max="14610" width="12.140625" style="10" customWidth="1"/>
    <col min="14611" max="14611" width="10.5703125" style="10" customWidth="1"/>
    <col min="14612" max="14612" width="12.42578125" style="10" customWidth="1"/>
    <col min="14613" max="14613" width="15.140625" style="10" customWidth="1"/>
    <col min="14614" max="14614" width="13.5703125" style="10" customWidth="1"/>
    <col min="14615" max="14615" width="13.140625" style="10" customWidth="1"/>
    <col min="14616" max="14616" width="15.7109375" style="10" customWidth="1"/>
    <col min="14617" max="14617" width="37.5703125" style="10" customWidth="1"/>
    <col min="14618" max="14839" width="11.42578125" style="10"/>
    <col min="14840" max="14840" width="10.5703125" style="10" customWidth="1"/>
    <col min="14841" max="14841" width="4.85546875" style="10" customWidth="1"/>
    <col min="14842" max="14842" width="32.42578125" style="10" customWidth="1"/>
    <col min="14843" max="14843" width="9.85546875" style="10" customWidth="1"/>
    <col min="14844" max="14844" width="10.140625" style="10" customWidth="1"/>
    <col min="14845" max="14845" width="12.28515625" style="10" customWidth="1"/>
    <col min="14846" max="14846" width="15.42578125" style="10" customWidth="1"/>
    <col min="14847" max="14847" width="11.85546875" style="10" customWidth="1"/>
    <col min="14848" max="14848" width="13.28515625" style="10" customWidth="1"/>
    <col min="14849" max="14849" width="15.28515625" style="10" customWidth="1"/>
    <col min="14850" max="14850" width="11.85546875" style="10" customWidth="1"/>
    <col min="14851" max="14851" width="6.140625" style="10" customWidth="1"/>
    <col min="14852" max="14852" width="11.85546875" style="10" customWidth="1"/>
    <col min="14853" max="14853" width="9.42578125" style="10" customWidth="1"/>
    <col min="14854" max="14854" width="14.7109375" style="10" customWidth="1"/>
    <col min="14855" max="14855" width="11.5703125" style="10" customWidth="1"/>
    <col min="14856" max="14856" width="0.42578125" style="10" customWidth="1"/>
    <col min="14857" max="14857" width="10.5703125" style="10" bestFit="1" customWidth="1"/>
    <col min="14858" max="14858" width="12.28515625" style="10" customWidth="1"/>
    <col min="14859" max="14859" width="12.5703125" style="10" customWidth="1"/>
    <col min="14860" max="14860" width="10.5703125" style="10" customWidth="1"/>
    <col min="14861" max="14861" width="10.140625" style="10" customWidth="1"/>
    <col min="14862" max="14862" width="8.42578125" style="10" customWidth="1"/>
    <col min="14863" max="14863" width="18.85546875" style="10" customWidth="1"/>
    <col min="14864" max="14864" width="10.28515625" style="10" customWidth="1"/>
    <col min="14865" max="14865" width="11.42578125" style="10"/>
    <col min="14866" max="14866" width="12.140625" style="10" customWidth="1"/>
    <col min="14867" max="14867" width="10.5703125" style="10" customWidth="1"/>
    <col min="14868" max="14868" width="12.42578125" style="10" customWidth="1"/>
    <col min="14869" max="14869" width="15.140625" style="10" customWidth="1"/>
    <col min="14870" max="14870" width="13.5703125" style="10" customWidth="1"/>
    <col min="14871" max="14871" width="13.140625" style="10" customWidth="1"/>
    <col min="14872" max="14872" width="15.7109375" style="10" customWidth="1"/>
    <col min="14873" max="14873" width="37.5703125" style="10" customWidth="1"/>
    <col min="14874" max="15095" width="11.42578125" style="10"/>
    <col min="15096" max="15096" width="10.5703125" style="10" customWidth="1"/>
    <col min="15097" max="15097" width="4.85546875" style="10" customWidth="1"/>
    <col min="15098" max="15098" width="32.42578125" style="10" customWidth="1"/>
    <col min="15099" max="15099" width="9.85546875" style="10" customWidth="1"/>
    <col min="15100" max="15100" width="10.140625" style="10" customWidth="1"/>
    <col min="15101" max="15101" width="12.28515625" style="10" customWidth="1"/>
    <col min="15102" max="15102" width="15.42578125" style="10" customWidth="1"/>
    <col min="15103" max="15103" width="11.85546875" style="10" customWidth="1"/>
    <col min="15104" max="15104" width="13.28515625" style="10" customWidth="1"/>
    <col min="15105" max="15105" width="15.28515625" style="10" customWidth="1"/>
    <col min="15106" max="15106" width="11.85546875" style="10" customWidth="1"/>
    <col min="15107" max="15107" width="6.140625" style="10" customWidth="1"/>
    <col min="15108" max="15108" width="11.85546875" style="10" customWidth="1"/>
    <col min="15109" max="15109" width="9.42578125" style="10" customWidth="1"/>
    <col min="15110" max="15110" width="14.7109375" style="10" customWidth="1"/>
    <col min="15111" max="15111" width="11.5703125" style="10" customWidth="1"/>
    <col min="15112" max="15112" width="0.42578125" style="10" customWidth="1"/>
    <col min="15113" max="15113" width="10.5703125" style="10" bestFit="1" customWidth="1"/>
    <col min="15114" max="15114" width="12.28515625" style="10" customWidth="1"/>
    <col min="15115" max="15115" width="12.5703125" style="10" customWidth="1"/>
    <col min="15116" max="15116" width="10.5703125" style="10" customWidth="1"/>
    <col min="15117" max="15117" width="10.140625" style="10" customWidth="1"/>
    <col min="15118" max="15118" width="8.42578125" style="10" customWidth="1"/>
    <col min="15119" max="15119" width="18.85546875" style="10" customWidth="1"/>
    <col min="15120" max="15120" width="10.28515625" style="10" customWidth="1"/>
    <col min="15121" max="15121" width="11.42578125" style="10"/>
    <col min="15122" max="15122" width="12.140625" style="10" customWidth="1"/>
    <col min="15123" max="15123" width="10.5703125" style="10" customWidth="1"/>
    <col min="15124" max="15124" width="12.42578125" style="10" customWidth="1"/>
    <col min="15125" max="15125" width="15.140625" style="10" customWidth="1"/>
    <col min="15126" max="15126" width="13.5703125" style="10" customWidth="1"/>
    <col min="15127" max="15127" width="13.140625" style="10" customWidth="1"/>
    <col min="15128" max="15128" width="15.7109375" style="10" customWidth="1"/>
    <col min="15129" max="15129" width="37.5703125" style="10" customWidth="1"/>
    <col min="15130" max="15351" width="11.42578125" style="10"/>
    <col min="15352" max="15352" width="10.5703125" style="10" customWidth="1"/>
    <col min="15353" max="15353" width="4.85546875" style="10" customWidth="1"/>
    <col min="15354" max="15354" width="32.42578125" style="10" customWidth="1"/>
    <col min="15355" max="15355" width="9.85546875" style="10" customWidth="1"/>
    <col min="15356" max="15356" width="10.140625" style="10" customWidth="1"/>
    <col min="15357" max="15357" width="12.28515625" style="10" customWidth="1"/>
    <col min="15358" max="15358" width="15.42578125" style="10" customWidth="1"/>
    <col min="15359" max="15359" width="11.85546875" style="10" customWidth="1"/>
    <col min="15360" max="15360" width="13.28515625" style="10" customWidth="1"/>
    <col min="15361" max="15361" width="15.28515625" style="10" customWidth="1"/>
    <col min="15362" max="15362" width="11.85546875" style="10" customWidth="1"/>
    <col min="15363" max="15363" width="6.140625" style="10" customWidth="1"/>
    <col min="15364" max="15364" width="11.85546875" style="10" customWidth="1"/>
    <col min="15365" max="15365" width="9.42578125" style="10" customWidth="1"/>
    <col min="15366" max="15366" width="14.7109375" style="10" customWidth="1"/>
    <col min="15367" max="15367" width="11.5703125" style="10" customWidth="1"/>
    <col min="15368" max="15368" width="0.42578125" style="10" customWidth="1"/>
    <col min="15369" max="15369" width="10.5703125" style="10" bestFit="1" customWidth="1"/>
    <col min="15370" max="15370" width="12.28515625" style="10" customWidth="1"/>
    <col min="15371" max="15371" width="12.5703125" style="10" customWidth="1"/>
    <col min="15372" max="15372" width="10.5703125" style="10" customWidth="1"/>
    <col min="15373" max="15373" width="10.140625" style="10" customWidth="1"/>
    <col min="15374" max="15374" width="8.42578125" style="10" customWidth="1"/>
    <col min="15375" max="15375" width="18.85546875" style="10" customWidth="1"/>
    <col min="15376" max="15376" width="10.28515625" style="10" customWidth="1"/>
    <col min="15377" max="15377" width="11.42578125" style="10"/>
    <col min="15378" max="15378" width="12.140625" style="10" customWidth="1"/>
    <col min="15379" max="15379" width="10.5703125" style="10" customWidth="1"/>
    <col min="15380" max="15380" width="12.42578125" style="10" customWidth="1"/>
    <col min="15381" max="15381" width="15.140625" style="10" customWidth="1"/>
    <col min="15382" max="15382" width="13.5703125" style="10" customWidth="1"/>
    <col min="15383" max="15383" width="13.140625" style="10" customWidth="1"/>
    <col min="15384" max="15384" width="15.7109375" style="10" customWidth="1"/>
    <col min="15385" max="15385" width="37.5703125" style="10" customWidth="1"/>
    <col min="15386" max="15607" width="11.42578125" style="10"/>
    <col min="15608" max="15608" width="10.5703125" style="10" customWidth="1"/>
    <col min="15609" max="15609" width="4.85546875" style="10" customWidth="1"/>
    <col min="15610" max="15610" width="32.42578125" style="10" customWidth="1"/>
    <col min="15611" max="15611" width="9.85546875" style="10" customWidth="1"/>
    <col min="15612" max="15612" width="10.140625" style="10" customWidth="1"/>
    <col min="15613" max="15613" width="12.28515625" style="10" customWidth="1"/>
    <col min="15614" max="15614" width="15.42578125" style="10" customWidth="1"/>
    <col min="15615" max="15615" width="11.85546875" style="10" customWidth="1"/>
    <col min="15616" max="15616" width="13.28515625" style="10" customWidth="1"/>
    <col min="15617" max="15617" width="15.28515625" style="10" customWidth="1"/>
    <col min="15618" max="15618" width="11.85546875" style="10" customWidth="1"/>
    <col min="15619" max="15619" width="6.140625" style="10" customWidth="1"/>
    <col min="15620" max="15620" width="11.85546875" style="10" customWidth="1"/>
    <col min="15621" max="15621" width="9.42578125" style="10" customWidth="1"/>
    <col min="15622" max="15622" width="14.7109375" style="10" customWidth="1"/>
    <col min="15623" max="15623" width="11.5703125" style="10" customWidth="1"/>
    <col min="15624" max="15624" width="0.42578125" style="10" customWidth="1"/>
    <col min="15625" max="15625" width="10.5703125" style="10" bestFit="1" customWidth="1"/>
    <col min="15626" max="15626" width="12.28515625" style="10" customWidth="1"/>
    <col min="15627" max="15627" width="12.5703125" style="10" customWidth="1"/>
    <col min="15628" max="15628" width="10.5703125" style="10" customWidth="1"/>
    <col min="15629" max="15629" width="10.140625" style="10" customWidth="1"/>
    <col min="15630" max="15630" width="8.42578125" style="10" customWidth="1"/>
    <col min="15631" max="15631" width="18.85546875" style="10" customWidth="1"/>
    <col min="15632" max="15632" width="10.28515625" style="10" customWidth="1"/>
    <col min="15633" max="15633" width="11.42578125" style="10"/>
    <col min="15634" max="15634" width="12.140625" style="10" customWidth="1"/>
    <col min="15635" max="15635" width="10.5703125" style="10" customWidth="1"/>
    <col min="15636" max="15636" width="12.42578125" style="10" customWidth="1"/>
    <col min="15637" max="15637" width="15.140625" style="10" customWidth="1"/>
    <col min="15638" max="15638" width="13.5703125" style="10" customWidth="1"/>
    <col min="15639" max="15639" width="13.140625" style="10" customWidth="1"/>
    <col min="15640" max="15640" width="15.7109375" style="10" customWidth="1"/>
    <col min="15641" max="15641" width="37.5703125" style="10" customWidth="1"/>
    <col min="15642" max="15863" width="11.42578125" style="10"/>
    <col min="15864" max="15864" width="10.5703125" style="10" customWidth="1"/>
    <col min="15865" max="15865" width="4.85546875" style="10" customWidth="1"/>
    <col min="15866" max="15866" width="32.42578125" style="10" customWidth="1"/>
    <col min="15867" max="15867" width="9.85546875" style="10" customWidth="1"/>
    <col min="15868" max="15868" width="10.140625" style="10" customWidth="1"/>
    <col min="15869" max="15869" width="12.28515625" style="10" customWidth="1"/>
    <col min="15870" max="15870" width="15.42578125" style="10" customWidth="1"/>
    <col min="15871" max="15871" width="11.85546875" style="10" customWidth="1"/>
    <col min="15872" max="15872" width="13.28515625" style="10" customWidth="1"/>
    <col min="15873" max="15873" width="15.28515625" style="10" customWidth="1"/>
    <col min="15874" max="15874" width="11.85546875" style="10" customWidth="1"/>
    <col min="15875" max="15875" width="6.140625" style="10" customWidth="1"/>
    <col min="15876" max="15876" width="11.85546875" style="10" customWidth="1"/>
    <col min="15877" max="15877" width="9.42578125" style="10" customWidth="1"/>
    <col min="15878" max="15878" width="14.7109375" style="10" customWidth="1"/>
    <col min="15879" max="15879" width="11.5703125" style="10" customWidth="1"/>
    <col min="15880" max="15880" width="0.42578125" style="10" customWidth="1"/>
    <col min="15881" max="15881" width="10.5703125" style="10" bestFit="1" customWidth="1"/>
    <col min="15882" max="15882" width="12.28515625" style="10" customWidth="1"/>
    <col min="15883" max="15883" width="12.5703125" style="10" customWidth="1"/>
    <col min="15884" max="15884" width="10.5703125" style="10" customWidth="1"/>
    <col min="15885" max="15885" width="10.140625" style="10" customWidth="1"/>
    <col min="15886" max="15886" width="8.42578125" style="10" customWidth="1"/>
    <col min="15887" max="15887" width="18.85546875" style="10" customWidth="1"/>
    <col min="15888" max="15888" width="10.28515625" style="10" customWidth="1"/>
    <col min="15889" max="15889" width="11.42578125" style="10"/>
    <col min="15890" max="15890" width="12.140625" style="10" customWidth="1"/>
    <col min="15891" max="15891" width="10.5703125" style="10" customWidth="1"/>
    <col min="15892" max="15892" width="12.42578125" style="10" customWidth="1"/>
    <col min="15893" max="15893" width="15.140625" style="10" customWidth="1"/>
    <col min="15894" max="15894" width="13.5703125" style="10" customWidth="1"/>
    <col min="15895" max="15895" width="13.140625" style="10" customWidth="1"/>
    <col min="15896" max="15896" width="15.7109375" style="10" customWidth="1"/>
    <col min="15897" max="15897" width="37.5703125" style="10" customWidth="1"/>
    <col min="15898" max="16119" width="11.42578125" style="10"/>
    <col min="16120" max="16120" width="10.5703125" style="10" customWidth="1"/>
    <col min="16121" max="16121" width="4.85546875" style="10" customWidth="1"/>
    <col min="16122" max="16122" width="32.42578125" style="10" customWidth="1"/>
    <col min="16123" max="16123" width="9.85546875" style="10" customWidth="1"/>
    <col min="16124" max="16124" width="10.140625" style="10" customWidth="1"/>
    <col min="16125" max="16125" width="12.28515625" style="10" customWidth="1"/>
    <col min="16126" max="16126" width="15.42578125" style="10" customWidth="1"/>
    <col min="16127" max="16127" width="11.85546875" style="10" customWidth="1"/>
    <col min="16128" max="16128" width="13.28515625" style="10" customWidth="1"/>
    <col min="16129" max="16129" width="15.28515625" style="10" customWidth="1"/>
    <col min="16130" max="16130" width="11.85546875" style="10" customWidth="1"/>
    <col min="16131" max="16131" width="6.140625" style="10" customWidth="1"/>
    <col min="16132" max="16132" width="11.85546875" style="10" customWidth="1"/>
    <col min="16133" max="16133" width="9.42578125" style="10" customWidth="1"/>
    <col min="16134" max="16134" width="14.7109375" style="10" customWidth="1"/>
    <col min="16135" max="16135" width="11.5703125" style="10" customWidth="1"/>
    <col min="16136" max="16136" width="0.42578125" style="10" customWidth="1"/>
    <col min="16137" max="16137" width="10.5703125" style="10" bestFit="1" customWidth="1"/>
    <col min="16138" max="16138" width="12.28515625" style="10" customWidth="1"/>
    <col min="16139" max="16139" width="12.5703125" style="10" customWidth="1"/>
    <col min="16140" max="16140" width="10.5703125" style="10" customWidth="1"/>
    <col min="16141" max="16141" width="10.140625" style="10" customWidth="1"/>
    <col min="16142" max="16142" width="8.42578125" style="10" customWidth="1"/>
    <col min="16143" max="16143" width="18.85546875" style="10" customWidth="1"/>
    <col min="16144" max="16144" width="10.28515625" style="10" customWidth="1"/>
    <col min="16145" max="16145" width="11.42578125" style="10"/>
    <col min="16146" max="16146" width="12.140625" style="10" customWidth="1"/>
    <col min="16147" max="16147" width="10.5703125" style="10" customWidth="1"/>
    <col min="16148" max="16148" width="12.42578125" style="10" customWidth="1"/>
    <col min="16149" max="16149" width="15.140625" style="10" customWidth="1"/>
    <col min="16150" max="16150" width="13.5703125" style="10" customWidth="1"/>
    <col min="16151" max="16151" width="13.140625" style="10" customWidth="1"/>
    <col min="16152" max="16152" width="15.7109375" style="10" customWidth="1"/>
    <col min="16153" max="16153" width="37.5703125" style="10" customWidth="1"/>
    <col min="16154" max="16384" width="11.42578125" style="10"/>
  </cols>
  <sheetData>
    <row r="1" spans="1:25" x14ac:dyDescent="0.25">
      <c r="C1" s="100" t="s">
        <v>191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3"/>
      <c r="X1" s="9"/>
      <c r="Y1" s="13"/>
    </row>
    <row r="2" spans="1:25" x14ac:dyDescent="0.25">
      <c r="C2" s="72" t="s">
        <v>1</v>
      </c>
      <c r="D2" s="13"/>
      <c r="E2" s="101" t="s">
        <v>2</v>
      </c>
      <c r="F2" s="101"/>
      <c r="G2" s="101"/>
      <c r="H2" s="101"/>
      <c r="I2" s="101"/>
      <c r="J2" s="101"/>
      <c r="K2" s="101"/>
      <c r="L2" s="101"/>
      <c r="M2" s="101" t="s">
        <v>3</v>
      </c>
      <c r="N2" s="101"/>
      <c r="O2" s="101"/>
      <c r="P2" s="101"/>
      <c r="Q2" s="101"/>
      <c r="R2" s="101"/>
      <c r="S2" s="101"/>
      <c r="T2" s="101"/>
      <c r="U2" s="101"/>
      <c r="V2" s="13"/>
      <c r="W2" s="13"/>
      <c r="X2" s="9"/>
      <c r="Y2" s="13"/>
    </row>
    <row r="3" spans="1:25" ht="39" customHeight="1" x14ac:dyDescent="0.25">
      <c r="A3" s="102" t="s">
        <v>4</v>
      </c>
      <c r="B3" s="14" t="s">
        <v>5</v>
      </c>
      <c r="C3" s="14" t="s">
        <v>6</v>
      </c>
      <c r="D3" s="14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5" t="s">
        <v>192</v>
      </c>
      <c r="J3" s="15" t="s">
        <v>12</v>
      </c>
      <c r="K3" s="15" t="s">
        <v>162</v>
      </c>
      <c r="L3" s="15" t="s">
        <v>14</v>
      </c>
      <c r="M3" s="15" t="s">
        <v>15</v>
      </c>
      <c r="N3" s="15" t="s">
        <v>16</v>
      </c>
      <c r="O3" s="15" t="s">
        <v>17</v>
      </c>
      <c r="P3" s="15" t="s">
        <v>181</v>
      </c>
      <c r="Q3" s="15" t="s">
        <v>19</v>
      </c>
      <c r="R3" s="15" t="s">
        <v>20</v>
      </c>
      <c r="S3" s="15" t="s">
        <v>21</v>
      </c>
      <c r="T3" s="15" t="s">
        <v>22</v>
      </c>
      <c r="U3" s="15" t="s">
        <v>23</v>
      </c>
      <c r="V3" s="14" t="s">
        <v>24</v>
      </c>
      <c r="W3" s="14"/>
      <c r="X3" s="16"/>
      <c r="Y3" s="14" t="s">
        <v>188</v>
      </c>
    </row>
    <row r="4" spans="1:25" x14ac:dyDescent="0.25">
      <c r="A4" s="103"/>
      <c r="B4" s="14">
        <v>1</v>
      </c>
      <c r="C4" s="11" t="s">
        <v>26</v>
      </c>
      <c r="D4" s="6" t="s">
        <v>27</v>
      </c>
      <c r="E4" s="5">
        <v>5250000</v>
      </c>
      <c r="F4" s="12">
        <v>30</v>
      </c>
      <c r="G4" s="5">
        <f>+E4</f>
        <v>5250000</v>
      </c>
      <c r="H4" s="5"/>
      <c r="I4" s="5"/>
      <c r="J4" s="5"/>
      <c r="K4" s="5"/>
      <c r="L4" s="5">
        <f>SUM(G4:J4)+K4</f>
        <v>5250000</v>
      </c>
      <c r="M4" s="5">
        <f>+E4*4%</f>
        <v>210000</v>
      </c>
      <c r="N4" s="5">
        <f>+E4*5%</f>
        <v>262500</v>
      </c>
      <c r="O4" s="5"/>
      <c r="P4" s="5"/>
      <c r="Q4" s="5">
        <v>32000</v>
      </c>
      <c r="R4" s="5"/>
      <c r="S4" s="5"/>
      <c r="T4" s="5"/>
      <c r="U4" s="5">
        <f t="shared" ref="U4:U46" si="0">SUM(M4:T4)</f>
        <v>504500</v>
      </c>
      <c r="V4" s="7">
        <f t="shared" ref="V4:V9" si="1">+L4-U4</f>
        <v>4745500</v>
      </c>
      <c r="W4" s="8"/>
      <c r="X4" s="9"/>
      <c r="Y4" s="8">
        <f>V4+W4-X4</f>
        <v>4745500</v>
      </c>
    </row>
    <row r="5" spans="1:25" ht="24" x14ac:dyDescent="0.25">
      <c r="A5" s="103"/>
      <c r="B5" s="14">
        <f>+B4+1</f>
        <v>2</v>
      </c>
      <c r="C5" s="11" t="s">
        <v>28</v>
      </c>
      <c r="D5" s="6" t="s">
        <v>27</v>
      </c>
      <c r="E5" s="5">
        <v>4500000</v>
      </c>
      <c r="F5" s="12">
        <v>30</v>
      </c>
      <c r="G5" s="5">
        <f>+E5-K5</f>
        <v>4500000</v>
      </c>
      <c r="H5" s="5"/>
      <c r="I5" s="5"/>
      <c r="J5" s="5">
        <v>500000</v>
      </c>
      <c r="K5" s="5"/>
      <c r="L5" s="5">
        <f t="shared" ref="L5:L34" si="2">SUM(G5:J5)+K5</f>
        <v>5000000</v>
      </c>
      <c r="M5" s="5">
        <f>+E5*4%</f>
        <v>180000</v>
      </c>
      <c r="N5" s="5">
        <f>+E5*5%</f>
        <v>225000</v>
      </c>
      <c r="O5" s="5"/>
      <c r="P5" s="5"/>
      <c r="Q5" s="5">
        <v>79773</v>
      </c>
      <c r="R5" s="5"/>
      <c r="S5" s="5"/>
      <c r="T5" s="5"/>
      <c r="U5" s="5">
        <f>SUM(M5:T5)</f>
        <v>484773</v>
      </c>
      <c r="V5" s="7">
        <f t="shared" si="1"/>
        <v>4515227</v>
      </c>
      <c r="W5" s="8"/>
      <c r="X5" s="9"/>
      <c r="Y5" s="8">
        <f t="shared" ref="Y5:Y25" si="3">V5+W5-X5</f>
        <v>4515227</v>
      </c>
    </row>
    <row r="6" spans="1:25" ht="22.5" customHeight="1" x14ac:dyDescent="0.25">
      <c r="A6" s="103"/>
      <c r="B6" s="14">
        <f t="shared" ref="B6:B46" si="4">+B5+1</f>
        <v>3</v>
      </c>
      <c r="C6" s="11" t="s">
        <v>29</v>
      </c>
      <c r="D6" s="6" t="s">
        <v>27</v>
      </c>
      <c r="E6" s="5">
        <v>5500000</v>
      </c>
      <c r="F6" s="12">
        <v>30</v>
      </c>
      <c r="G6" s="5">
        <f>+E6-K6</f>
        <v>5500000</v>
      </c>
      <c r="H6" s="5"/>
      <c r="I6" s="5"/>
      <c r="J6" s="5">
        <v>500000</v>
      </c>
      <c r="K6" s="5">
        <v>0</v>
      </c>
      <c r="L6" s="5">
        <f t="shared" si="2"/>
        <v>6000000</v>
      </c>
      <c r="M6" s="5">
        <f>E6*4%</f>
        <v>220000</v>
      </c>
      <c r="N6" s="5">
        <f>E6*5%</f>
        <v>275000</v>
      </c>
      <c r="O6" s="5"/>
      <c r="P6" s="5"/>
      <c r="Q6" s="5">
        <v>102000</v>
      </c>
      <c r="R6" s="5"/>
      <c r="S6" s="5"/>
      <c r="T6" s="5">
        <v>1212777</v>
      </c>
      <c r="U6" s="5">
        <f t="shared" si="0"/>
        <v>1809777</v>
      </c>
      <c r="V6" s="7">
        <f t="shared" si="1"/>
        <v>4190223</v>
      </c>
      <c r="W6" s="8"/>
      <c r="X6" s="9"/>
      <c r="Y6" s="8">
        <f t="shared" si="3"/>
        <v>4190223</v>
      </c>
    </row>
    <row r="7" spans="1:25" ht="22.5" customHeight="1" x14ac:dyDescent="0.25">
      <c r="A7" s="103"/>
      <c r="B7" s="14">
        <f t="shared" si="4"/>
        <v>4</v>
      </c>
      <c r="C7" s="11" t="s">
        <v>30</v>
      </c>
      <c r="D7" s="6" t="s">
        <v>27</v>
      </c>
      <c r="E7" s="5">
        <v>5492319</v>
      </c>
      <c r="F7" s="12">
        <v>30</v>
      </c>
      <c r="G7" s="5">
        <f>+E7-H7</f>
        <v>5492319</v>
      </c>
      <c r="H7" s="2"/>
      <c r="I7" s="2"/>
      <c r="J7" s="5"/>
      <c r="K7" s="5"/>
      <c r="L7" s="5">
        <f t="shared" ref="L7" si="5">SUM(G7:J7)+K7</f>
        <v>5492319</v>
      </c>
      <c r="M7" s="5">
        <f>+L7*4%</f>
        <v>219692.76</v>
      </c>
      <c r="N7" s="5">
        <f>+L7*5%</f>
        <v>274615.95</v>
      </c>
      <c r="O7" s="5"/>
      <c r="P7" s="5"/>
      <c r="Q7" s="17">
        <v>98000</v>
      </c>
      <c r="R7" s="5"/>
      <c r="S7" s="5"/>
      <c r="T7" s="5">
        <v>726520</v>
      </c>
      <c r="U7" s="5">
        <f t="shared" ref="U7" si="6">SUM(M7:T7)</f>
        <v>1318828.71</v>
      </c>
      <c r="V7" s="7">
        <f t="shared" si="1"/>
        <v>4173490.29</v>
      </c>
      <c r="W7" s="8"/>
      <c r="X7" s="9"/>
      <c r="Y7" s="8">
        <f t="shared" si="3"/>
        <v>4173490.29</v>
      </c>
    </row>
    <row r="8" spans="1:25" ht="26.25" customHeight="1" x14ac:dyDescent="0.25">
      <c r="A8" s="103"/>
      <c r="B8" s="14">
        <f t="shared" si="4"/>
        <v>5</v>
      </c>
      <c r="C8" s="11" t="s">
        <v>142</v>
      </c>
      <c r="D8" s="6" t="s">
        <v>27</v>
      </c>
      <c r="E8" s="5">
        <v>5000000</v>
      </c>
      <c r="F8" s="12">
        <v>30</v>
      </c>
      <c r="G8" s="5">
        <f t="shared" ref="G8" si="7">+E8/30*F8</f>
        <v>5000000</v>
      </c>
      <c r="H8" s="5"/>
      <c r="I8" s="5"/>
      <c r="J8" s="5"/>
      <c r="K8" s="5"/>
      <c r="L8" s="5">
        <f t="shared" si="2"/>
        <v>5000000</v>
      </c>
      <c r="M8" s="5">
        <f>+L8*4%</f>
        <v>200000</v>
      </c>
      <c r="N8" s="5">
        <f>+L8*5%</f>
        <v>250000</v>
      </c>
      <c r="O8" s="5"/>
      <c r="P8" s="5"/>
      <c r="Q8" s="17">
        <v>15000</v>
      </c>
      <c r="R8" s="5">
        <v>500000</v>
      </c>
      <c r="S8" s="5">
        <v>111000</v>
      </c>
      <c r="T8" s="5"/>
      <c r="U8" s="5">
        <f>SUM(M8:T8)</f>
        <v>1076000</v>
      </c>
      <c r="V8" s="7">
        <f t="shared" si="1"/>
        <v>3924000</v>
      </c>
      <c r="W8" s="8"/>
      <c r="X8" s="9"/>
      <c r="Y8" s="8">
        <f t="shared" si="3"/>
        <v>3924000</v>
      </c>
    </row>
    <row r="9" spans="1:25" x14ac:dyDescent="0.25">
      <c r="A9" s="103"/>
      <c r="B9" s="14">
        <f t="shared" si="4"/>
        <v>6</v>
      </c>
      <c r="C9" s="11" t="s">
        <v>31</v>
      </c>
      <c r="D9" s="6" t="s">
        <v>27</v>
      </c>
      <c r="E9" s="5">
        <v>5000000</v>
      </c>
      <c r="F9" s="12">
        <v>30</v>
      </c>
      <c r="G9" s="1">
        <f>+E9/30*25</f>
        <v>4166666.6666666665</v>
      </c>
      <c r="H9" s="5"/>
      <c r="I9" s="5">
        <f>333333+333350</f>
        <v>666683</v>
      </c>
      <c r="J9" s="5">
        <v>2012670</v>
      </c>
      <c r="K9" s="5"/>
      <c r="L9" s="5">
        <f>SUM(G9:J9)+K9</f>
        <v>6846019.666666666</v>
      </c>
      <c r="M9" s="5">
        <f>+E9*4%</f>
        <v>200000</v>
      </c>
      <c r="N9" s="5">
        <f>+E9*5%</f>
        <v>250000</v>
      </c>
      <c r="O9" s="5"/>
      <c r="P9" s="5"/>
      <c r="Q9" s="5">
        <v>50000</v>
      </c>
      <c r="R9" s="5">
        <v>700000</v>
      </c>
      <c r="S9" s="5"/>
      <c r="T9" s="5"/>
      <c r="U9" s="5">
        <f t="shared" si="0"/>
        <v>1200000</v>
      </c>
      <c r="V9" s="7">
        <f t="shared" si="1"/>
        <v>5646019.666666666</v>
      </c>
      <c r="W9" s="8"/>
      <c r="X9" s="9"/>
      <c r="Y9" s="8">
        <f t="shared" si="3"/>
        <v>5646019.666666666</v>
      </c>
    </row>
    <row r="10" spans="1:25" x14ac:dyDescent="0.25">
      <c r="A10" s="103"/>
      <c r="B10" s="14">
        <f t="shared" si="4"/>
        <v>7</v>
      </c>
      <c r="C10" s="11" t="s">
        <v>32</v>
      </c>
      <c r="D10" s="6" t="s">
        <v>27</v>
      </c>
      <c r="E10" s="5">
        <v>4500000</v>
      </c>
      <c r="F10" s="12">
        <v>30</v>
      </c>
      <c r="G10" s="5">
        <f>E10/30*F10</f>
        <v>4500000</v>
      </c>
      <c r="H10" s="5"/>
      <c r="I10" s="5"/>
      <c r="J10" s="5"/>
      <c r="K10" s="5">
        <v>0</v>
      </c>
      <c r="L10" s="5">
        <f t="shared" si="2"/>
        <v>4500000</v>
      </c>
      <c r="M10" s="5">
        <f>+L10*4%</f>
        <v>180000</v>
      </c>
      <c r="N10" s="5">
        <f>+L10*5%</f>
        <v>225000</v>
      </c>
      <c r="O10" s="5"/>
      <c r="P10" s="5"/>
      <c r="Q10" s="5">
        <v>2545</v>
      </c>
      <c r="R10" s="5"/>
      <c r="S10" s="5"/>
      <c r="T10" s="5">
        <f>945750+420786</f>
        <v>1366536</v>
      </c>
      <c r="U10" s="5">
        <f t="shared" si="0"/>
        <v>1774081</v>
      </c>
      <c r="V10" s="7">
        <f>L10-U10</f>
        <v>2725919</v>
      </c>
      <c r="W10" s="8"/>
      <c r="X10" s="9"/>
      <c r="Y10" s="8">
        <f t="shared" si="3"/>
        <v>2725919</v>
      </c>
    </row>
    <row r="11" spans="1:25" x14ac:dyDescent="0.25">
      <c r="A11" s="103"/>
      <c r="B11" s="14">
        <f t="shared" si="4"/>
        <v>8</v>
      </c>
      <c r="C11" s="11" t="s">
        <v>33</v>
      </c>
      <c r="D11" s="6" t="s">
        <v>27</v>
      </c>
      <c r="E11" s="5">
        <v>4500000</v>
      </c>
      <c r="F11" s="12">
        <v>30</v>
      </c>
      <c r="G11" s="5">
        <f>E11/30*F11</f>
        <v>4500000</v>
      </c>
      <c r="H11" s="5"/>
      <c r="I11" s="5"/>
      <c r="J11" s="5"/>
      <c r="K11" s="5"/>
      <c r="L11" s="5">
        <f t="shared" ref="L11" si="8">SUM(G11:J11)+K11</f>
        <v>4500000</v>
      </c>
      <c r="M11" s="5">
        <f>+E11*4%</f>
        <v>180000</v>
      </c>
      <c r="N11" s="5">
        <f>+E11*5%</f>
        <v>225000</v>
      </c>
      <c r="O11" s="5"/>
      <c r="P11" s="5"/>
      <c r="Q11" s="5">
        <v>10000</v>
      </c>
      <c r="R11" s="5"/>
      <c r="S11" s="5"/>
      <c r="T11" s="5"/>
      <c r="U11" s="5">
        <f t="shared" ref="U11" si="9">SUM(M11:T11)</f>
        <v>415000</v>
      </c>
      <c r="V11" s="7">
        <f>L11-U11</f>
        <v>4085000</v>
      </c>
      <c r="W11" s="8"/>
      <c r="X11" s="9"/>
      <c r="Y11" s="8">
        <f t="shared" si="3"/>
        <v>4085000</v>
      </c>
    </row>
    <row r="12" spans="1:25" x14ac:dyDescent="0.25">
      <c r="A12" s="103"/>
      <c r="B12" s="14">
        <f t="shared" si="4"/>
        <v>9</v>
      </c>
      <c r="C12" s="11" t="s">
        <v>36</v>
      </c>
      <c r="D12" s="6" t="s">
        <v>27</v>
      </c>
      <c r="E12" s="5">
        <v>5400000</v>
      </c>
      <c r="F12" s="12">
        <v>30</v>
      </c>
      <c r="G12" s="5">
        <f>+E12-K12</f>
        <v>5220000</v>
      </c>
      <c r="H12" s="5"/>
      <c r="I12" s="5"/>
      <c r="J12" s="5"/>
      <c r="K12" s="5">
        <f>+E12/30</f>
        <v>180000</v>
      </c>
      <c r="L12" s="5">
        <f>SUM(G12:J12)+K12</f>
        <v>5400000</v>
      </c>
      <c r="M12" s="5">
        <f>+E12*4%</f>
        <v>216000</v>
      </c>
      <c r="N12" s="5">
        <f>+E12*5%</f>
        <v>270000</v>
      </c>
      <c r="O12" s="5"/>
      <c r="P12" s="5"/>
      <c r="Q12" s="5">
        <v>6500</v>
      </c>
      <c r="R12" s="5"/>
      <c r="S12" s="5"/>
      <c r="T12" s="5"/>
      <c r="U12" s="5">
        <f t="shared" si="0"/>
        <v>492500</v>
      </c>
      <c r="V12" s="7">
        <f t="shared" ref="V12:V18" si="10">+L12-U12</f>
        <v>4907500</v>
      </c>
      <c r="W12" s="8"/>
      <c r="X12" s="9"/>
      <c r="Y12" s="8">
        <f t="shared" si="3"/>
        <v>4907500</v>
      </c>
    </row>
    <row r="13" spans="1:25" x14ac:dyDescent="0.25">
      <c r="A13" s="103"/>
      <c r="B13" s="14">
        <f t="shared" si="4"/>
        <v>10</v>
      </c>
      <c r="C13" s="11" t="s">
        <v>174</v>
      </c>
      <c r="D13" s="6" t="s">
        <v>27</v>
      </c>
      <c r="E13" s="5">
        <v>4500000</v>
      </c>
      <c r="F13" s="12">
        <v>30</v>
      </c>
      <c r="G13" s="5">
        <f t="shared" ref="G13:G18" si="11">+E13/30*F13</f>
        <v>4500000</v>
      </c>
      <c r="H13" s="5"/>
      <c r="I13" s="5"/>
      <c r="J13" s="5"/>
      <c r="K13" s="5"/>
      <c r="L13" s="5">
        <f>SUM(G13:J13)+K13</f>
        <v>4500000</v>
      </c>
      <c r="M13" s="5">
        <f>+G13*4%</f>
        <v>180000</v>
      </c>
      <c r="N13" s="5">
        <f>+G13*5%</f>
        <v>225000</v>
      </c>
      <c r="O13" s="5"/>
      <c r="P13" s="5"/>
      <c r="Q13" s="17">
        <v>2800</v>
      </c>
      <c r="R13" s="5"/>
      <c r="S13" s="5"/>
      <c r="T13" s="5"/>
      <c r="U13" s="5">
        <f t="shared" ref="U13" si="12">SUM(M13:T13)</f>
        <v>407800</v>
      </c>
      <c r="V13" s="7">
        <f t="shared" si="10"/>
        <v>4092200</v>
      </c>
      <c r="W13" s="8"/>
      <c r="X13" s="9"/>
      <c r="Y13" s="8">
        <f t="shared" si="3"/>
        <v>4092200</v>
      </c>
    </row>
    <row r="14" spans="1:25" x14ac:dyDescent="0.25">
      <c r="A14" s="103"/>
      <c r="B14" s="14">
        <f t="shared" si="4"/>
        <v>11</v>
      </c>
      <c r="C14" s="3" t="s">
        <v>37</v>
      </c>
      <c r="D14" s="4" t="s">
        <v>27</v>
      </c>
      <c r="E14" s="5">
        <v>4500000</v>
      </c>
      <c r="F14" s="12">
        <v>30</v>
      </c>
      <c r="G14" s="5">
        <f t="shared" si="11"/>
        <v>4500000</v>
      </c>
      <c r="H14" s="5"/>
      <c r="I14" s="5"/>
      <c r="J14" s="5"/>
      <c r="K14" s="5"/>
      <c r="L14" s="5">
        <f t="shared" si="2"/>
        <v>4500000</v>
      </c>
      <c r="M14" s="5">
        <v>180000</v>
      </c>
      <c r="N14" s="5">
        <v>225000</v>
      </c>
      <c r="O14" s="5"/>
      <c r="P14" s="5"/>
      <c r="Q14" s="5">
        <v>3000</v>
      </c>
      <c r="R14" s="5"/>
      <c r="S14" s="5"/>
      <c r="T14" s="5"/>
      <c r="U14" s="5">
        <f t="shared" si="0"/>
        <v>408000</v>
      </c>
      <c r="V14" s="7">
        <f t="shared" si="10"/>
        <v>4092000</v>
      </c>
      <c r="W14" s="8"/>
      <c r="X14" s="9"/>
      <c r="Y14" s="8">
        <f t="shared" si="3"/>
        <v>4092000</v>
      </c>
    </row>
    <row r="15" spans="1:25" x14ac:dyDescent="0.25">
      <c r="A15" s="103"/>
      <c r="B15" s="14">
        <f t="shared" si="4"/>
        <v>12</v>
      </c>
      <c r="C15" s="3" t="s">
        <v>38</v>
      </c>
      <c r="D15" s="4" t="s">
        <v>27</v>
      </c>
      <c r="E15" s="5">
        <v>4500000</v>
      </c>
      <c r="F15" s="12">
        <v>30</v>
      </c>
      <c r="G15" s="5">
        <f t="shared" si="11"/>
        <v>4500000</v>
      </c>
      <c r="H15" s="5"/>
      <c r="I15" s="5"/>
      <c r="J15" s="5"/>
      <c r="K15" s="5"/>
      <c r="L15" s="5">
        <f t="shared" ref="L15:L16" si="13">SUM(G15:J15)+K15</f>
        <v>4500000</v>
      </c>
      <c r="M15" s="5">
        <f>+G15*4%</f>
        <v>180000</v>
      </c>
      <c r="N15" s="5">
        <f>+G15*5%</f>
        <v>225000</v>
      </c>
      <c r="O15" s="5"/>
      <c r="P15" s="5"/>
      <c r="Q15" s="5">
        <v>72000</v>
      </c>
      <c r="R15" s="5"/>
      <c r="S15" s="5"/>
      <c r="T15" s="5">
        <v>838529</v>
      </c>
      <c r="U15" s="5">
        <f>SUM(M15:T15)</f>
        <v>1315529</v>
      </c>
      <c r="V15" s="7">
        <f>+L15-U15</f>
        <v>3184471</v>
      </c>
      <c r="W15" s="8"/>
      <c r="X15" s="9"/>
      <c r="Y15" s="8">
        <f t="shared" si="3"/>
        <v>3184471</v>
      </c>
    </row>
    <row r="16" spans="1:25" ht="18.75" customHeight="1" x14ac:dyDescent="0.25">
      <c r="A16" s="103"/>
      <c r="B16" s="14">
        <f t="shared" si="4"/>
        <v>13</v>
      </c>
      <c r="C16" s="3" t="s">
        <v>39</v>
      </c>
      <c r="D16" s="4" t="s">
        <v>35</v>
      </c>
      <c r="E16" s="5">
        <v>4000000</v>
      </c>
      <c r="F16" s="12">
        <v>30</v>
      </c>
      <c r="G16" s="5">
        <f t="shared" si="11"/>
        <v>4000000.0000000005</v>
      </c>
      <c r="H16" s="5"/>
      <c r="I16" s="5"/>
      <c r="J16" s="5"/>
      <c r="K16" s="5"/>
      <c r="L16" s="5">
        <f t="shared" si="13"/>
        <v>4000000.0000000005</v>
      </c>
      <c r="M16" s="5">
        <v>160000</v>
      </c>
      <c r="N16" s="5">
        <v>200000</v>
      </c>
      <c r="O16" s="5"/>
      <c r="P16" s="5"/>
      <c r="Q16" s="5">
        <v>4500</v>
      </c>
      <c r="R16" s="5"/>
      <c r="S16" s="5"/>
      <c r="T16" s="5"/>
      <c r="U16" s="5">
        <f t="shared" ref="U16" si="14">SUM(M16:T16)</f>
        <v>364500</v>
      </c>
      <c r="V16" s="7">
        <f t="shared" ref="V16:V17" si="15">+L16-U16</f>
        <v>3635500.0000000005</v>
      </c>
      <c r="W16" s="8"/>
      <c r="X16" s="9"/>
      <c r="Y16" s="8">
        <f t="shared" si="3"/>
        <v>3635500.0000000005</v>
      </c>
    </row>
    <row r="17" spans="1:25" ht="23.25" customHeight="1" x14ac:dyDescent="0.25">
      <c r="A17" s="103"/>
      <c r="B17" s="14">
        <f t="shared" si="4"/>
        <v>14</v>
      </c>
      <c r="C17" s="3" t="s">
        <v>40</v>
      </c>
      <c r="D17" s="4" t="s">
        <v>35</v>
      </c>
      <c r="E17" s="5">
        <v>4500000</v>
      </c>
      <c r="F17" s="12">
        <v>30</v>
      </c>
      <c r="G17" s="5">
        <f>+E17-I17</f>
        <v>3900000</v>
      </c>
      <c r="H17" s="5"/>
      <c r="I17" s="5">
        <v>600000</v>
      </c>
      <c r="J17" s="5"/>
      <c r="K17" s="5"/>
      <c r="L17" s="5">
        <f>SUM(G17:J17)+K17</f>
        <v>4500000</v>
      </c>
      <c r="M17" s="5">
        <f>+E17*4%</f>
        <v>180000</v>
      </c>
      <c r="N17" s="5">
        <f>+E17*5%</f>
        <v>225000</v>
      </c>
      <c r="O17" s="5"/>
      <c r="P17" s="5"/>
      <c r="Q17" s="5">
        <v>72000</v>
      </c>
      <c r="R17" s="5"/>
      <c r="S17" s="5"/>
      <c r="T17" s="5"/>
      <c r="U17" s="5">
        <f t="shared" ref="U17" si="16">SUM(M17:T17)</f>
        <v>477000</v>
      </c>
      <c r="V17" s="7">
        <f t="shared" si="15"/>
        <v>4023000</v>
      </c>
      <c r="W17" s="8"/>
      <c r="X17" s="9"/>
      <c r="Y17" s="8">
        <f t="shared" si="3"/>
        <v>4023000</v>
      </c>
    </row>
    <row r="18" spans="1:25" x14ac:dyDescent="0.25">
      <c r="A18" s="103"/>
      <c r="B18" s="14">
        <f t="shared" si="4"/>
        <v>15</v>
      </c>
      <c r="C18" s="11" t="s">
        <v>41</v>
      </c>
      <c r="D18" s="6" t="s">
        <v>27</v>
      </c>
      <c r="E18" s="5">
        <v>5500000</v>
      </c>
      <c r="F18" s="12">
        <v>30</v>
      </c>
      <c r="G18" s="5">
        <f t="shared" si="11"/>
        <v>5500000</v>
      </c>
      <c r="H18" s="5"/>
      <c r="I18" s="5"/>
      <c r="J18" s="5">
        <v>450000</v>
      </c>
      <c r="K18" s="5"/>
      <c r="L18" s="5">
        <f t="shared" si="2"/>
        <v>5950000</v>
      </c>
      <c r="M18" s="5">
        <f>+G18*4%</f>
        <v>220000</v>
      </c>
      <c r="N18" s="5">
        <f>+G18*5%</f>
        <v>275000</v>
      </c>
      <c r="O18" s="5"/>
      <c r="P18" s="5"/>
      <c r="Q18" s="17">
        <v>150521</v>
      </c>
      <c r="R18" s="5">
        <v>1365000</v>
      </c>
      <c r="S18" s="5"/>
      <c r="T18" s="5"/>
      <c r="U18" s="5">
        <f t="shared" si="0"/>
        <v>2010521</v>
      </c>
      <c r="V18" s="7">
        <f t="shared" si="10"/>
        <v>3939479</v>
      </c>
      <c r="W18" s="8"/>
      <c r="X18" s="9"/>
      <c r="Y18" s="8">
        <f t="shared" si="3"/>
        <v>3939479</v>
      </c>
    </row>
    <row r="19" spans="1:25" ht="24" x14ac:dyDescent="0.25">
      <c r="A19" s="103"/>
      <c r="B19" s="14">
        <f t="shared" si="4"/>
        <v>16</v>
      </c>
      <c r="C19" s="11" t="s">
        <v>43</v>
      </c>
      <c r="D19" s="6" t="s">
        <v>27</v>
      </c>
      <c r="E19" s="5">
        <v>5350000</v>
      </c>
      <c r="F19" s="12">
        <v>30</v>
      </c>
      <c r="G19" s="5">
        <f>+E19-K19</f>
        <v>5350000</v>
      </c>
      <c r="H19" s="5"/>
      <c r="I19" s="5"/>
      <c r="J19" s="5">
        <v>1000000</v>
      </c>
      <c r="K19" s="5"/>
      <c r="L19" s="5">
        <f t="shared" si="2"/>
        <v>6350000</v>
      </c>
      <c r="M19" s="5">
        <v>214000</v>
      </c>
      <c r="N19" s="5">
        <f>214000+53500</f>
        <v>267500</v>
      </c>
      <c r="O19" s="5"/>
      <c r="P19" s="5"/>
      <c r="Q19" s="17">
        <v>121000</v>
      </c>
      <c r="R19" s="5"/>
      <c r="S19" s="5"/>
      <c r="T19" s="5">
        <v>810005</v>
      </c>
      <c r="U19" s="5">
        <f>SUM(M19:T19)</f>
        <v>1412505</v>
      </c>
      <c r="V19" s="7">
        <f>L19-U19</f>
        <v>4937495</v>
      </c>
      <c r="W19" s="8"/>
      <c r="X19" s="9"/>
      <c r="Y19" s="8">
        <f t="shared" si="3"/>
        <v>4937495</v>
      </c>
    </row>
    <row r="20" spans="1:25" x14ac:dyDescent="0.25">
      <c r="A20" s="103"/>
      <c r="B20" s="14">
        <f t="shared" si="4"/>
        <v>17</v>
      </c>
      <c r="C20" s="11" t="s">
        <v>44</v>
      </c>
      <c r="D20" s="6" t="s">
        <v>27</v>
      </c>
      <c r="E20" s="5">
        <v>6600000</v>
      </c>
      <c r="F20" s="12">
        <v>30</v>
      </c>
      <c r="G20" s="5">
        <f t="shared" ref="G20:G29" si="17">E20/30*F20</f>
        <v>6600000</v>
      </c>
      <c r="H20" s="5"/>
      <c r="I20" s="5"/>
      <c r="J20" s="5"/>
      <c r="K20" s="5"/>
      <c r="L20" s="5">
        <f t="shared" si="2"/>
        <v>6600000</v>
      </c>
      <c r="M20" s="5">
        <f>+G20*4%</f>
        <v>264000</v>
      </c>
      <c r="N20" s="5">
        <f>+G20*5%</f>
        <v>330000</v>
      </c>
      <c r="O20" s="5"/>
      <c r="P20" s="5"/>
      <c r="Q20" s="17">
        <v>180000</v>
      </c>
      <c r="R20" s="5"/>
      <c r="S20" s="5"/>
      <c r="T20" s="18"/>
      <c r="U20" s="5">
        <f t="shared" si="0"/>
        <v>774000</v>
      </c>
      <c r="V20" s="7">
        <f>L20-U20</f>
        <v>5826000</v>
      </c>
      <c r="W20" s="8"/>
      <c r="X20" s="9"/>
      <c r="Y20" s="8">
        <f t="shared" si="3"/>
        <v>5826000</v>
      </c>
    </row>
    <row r="21" spans="1:25" x14ac:dyDescent="0.25">
      <c r="A21" s="103"/>
      <c r="B21" s="14">
        <f t="shared" si="4"/>
        <v>18</v>
      </c>
      <c r="C21" s="11" t="s">
        <v>45</v>
      </c>
      <c r="D21" s="6" t="s">
        <v>27</v>
      </c>
      <c r="E21" s="5">
        <v>6900000</v>
      </c>
      <c r="F21" s="12">
        <v>30</v>
      </c>
      <c r="G21" s="5">
        <f t="shared" si="17"/>
        <v>6900000</v>
      </c>
      <c r="H21" s="5"/>
      <c r="I21" s="5"/>
      <c r="J21" s="5">
        <v>1400000</v>
      </c>
      <c r="K21" s="5"/>
      <c r="L21" s="5">
        <f t="shared" ref="L21" si="18">SUM(G21:J21)+K21</f>
        <v>8300000</v>
      </c>
      <c r="M21" s="5">
        <f t="shared" ref="M21" si="19">+G21*4%</f>
        <v>276000</v>
      </c>
      <c r="N21" s="5">
        <f t="shared" ref="N21" si="20">+G21*5%</f>
        <v>345000</v>
      </c>
      <c r="O21" s="5"/>
      <c r="P21" s="5"/>
      <c r="Q21" s="17">
        <v>113000</v>
      </c>
      <c r="R21" s="5">
        <v>1300000</v>
      </c>
      <c r="S21" s="5"/>
      <c r="T21" s="18"/>
      <c r="U21" s="5">
        <f t="shared" ref="U21" si="21">SUM(M21:T21)</f>
        <v>2034000</v>
      </c>
      <c r="V21" s="7">
        <f>L21-U21</f>
        <v>6266000</v>
      </c>
      <c r="W21" s="8"/>
      <c r="X21" s="9"/>
      <c r="Y21" s="8">
        <f t="shared" si="3"/>
        <v>6266000</v>
      </c>
    </row>
    <row r="22" spans="1:25" ht="19.5" customHeight="1" x14ac:dyDescent="0.25">
      <c r="A22" s="103"/>
      <c r="B22" s="14">
        <f t="shared" si="4"/>
        <v>19</v>
      </c>
      <c r="C22" s="11" t="s">
        <v>46</v>
      </c>
      <c r="D22" s="6" t="s">
        <v>27</v>
      </c>
      <c r="E22" s="5">
        <v>3500000</v>
      </c>
      <c r="F22" s="12">
        <v>30</v>
      </c>
      <c r="G22" s="5">
        <f t="shared" ref="G22" si="22">+E22/30*F22</f>
        <v>3500000</v>
      </c>
      <c r="H22" s="5"/>
      <c r="I22" s="5"/>
      <c r="J22" s="5"/>
      <c r="K22" s="5"/>
      <c r="L22" s="5">
        <f t="shared" ref="L22" si="23">SUM(G22:J22)+K22</f>
        <v>3500000</v>
      </c>
      <c r="M22" s="5">
        <f>+E22*0.04</f>
        <v>140000</v>
      </c>
      <c r="N22" s="5">
        <f>+E22*0.05</f>
        <v>175000</v>
      </c>
      <c r="O22" s="5"/>
      <c r="P22" s="5"/>
      <c r="Q22" s="5"/>
      <c r="R22" s="5"/>
      <c r="S22" s="5"/>
      <c r="T22" s="5"/>
      <c r="U22" s="5">
        <f t="shared" ref="U22" si="24">SUM(M22:T22)</f>
        <v>315000</v>
      </c>
      <c r="V22" s="7">
        <f t="shared" ref="V22" si="25">+L22-U22</f>
        <v>3185000</v>
      </c>
      <c r="W22" s="8"/>
      <c r="X22" s="9"/>
      <c r="Y22" s="8">
        <f t="shared" si="3"/>
        <v>3185000</v>
      </c>
    </row>
    <row r="23" spans="1:25" x14ac:dyDescent="0.25">
      <c r="A23" s="103"/>
      <c r="B23" s="14">
        <f t="shared" si="4"/>
        <v>20</v>
      </c>
      <c r="C23" s="11" t="s">
        <v>47</v>
      </c>
      <c r="D23" s="6" t="s">
        <v>27</v>
      </c>
      <c r="E23" s="5">
        <v>5000000</v>
      </c>
      <c r="F23" s="12">
        <v>30</v>
      </c>
      <c r="G23" s="5">
        <f>+E23</f>
        <v>5000000</v>
      </c>
      <c r="H23" s="5"/>
      <c r="I23" s="5"/>
      <c r="J23" s="5">
        <v>1621317</v>
      </c>
      <c r="K23" s="5"/>
      <c r="L23" s="5">
        <f>SUM(G23:J23)+K23</f>
        <v>6621317</v>
      </c>
      <c r="M23" s="5">
        <v>200000</v>
      </c>
      <c r="N23" s="5">
        <v>250000</v>
      </c>
      <c r="O23" s="5"/>
      <c r="P23" s="5"/>
      <c r="Q23" s="17">
        <v>50000</v>
      </c>
      <c r="R23" s="5"/>
      <c r="S23" s="5"/>
      <c r="T23" s="5">
        <f>884747</f>
        <v>884747</v>
      </c>
      <c r="U23" s="5">
        <f t="shared" si="0"/>
        <v>1384747</v>
      </c>
      <c r="V23" s="7">
        <f>+L23-U23</f>
        <v>5236570</v>
      </c>
      <c r="W23" s="8"/>
      <c r="X23" s="9"/>
      <c r="Y23" s="8">
        <f t="shared" si="3"/>
        <v>5236570</v>
      </c>
    </row>
    <row r="24" spans="1:25" x14ac:dyDescent="0.25">
      <c r="A24" s="103"/>
      <c r="B24" s="14">
        <f t="shared" si="4"/>
        <v>21</v>
      </c>
      <c r="C24" s="11" t="s">
        <v>48</v>
      </c>
      <c r="D24" s="6" t="s">
        <v>27</v>
      </c>
      <c r="E24" s="5">
        <v>4500000</v>
      </c>
      <c r="F24" s="12">
        <v>30</v>
      </c>
      <c r="G24" s="5">
        <f>+E24-K24</f>
        <v>4500000</v>
      </c>
      <c r="H24" s="5"/>
      <c r="I24" s="5"/>
      <c r="J24" s="5"/>
      <c r="K24" s="5">
        <v>0</v>
      </c>
      <c r="L24" s="5">
        <f t="shared" si="2"/>
        <v>4500000</v>
      </c>
      <c r="M24" s="5">
        <v>180000</v>
      </c>
      <c r="N24" s="5">
        <v>225000</v>
      </c>
      <c r="O24" s="5"/>
      <c r="P24" s="5"/>
      <c r="Q24" s="17">
        <v>31000</v>
      </c>
      <c r="R24" s="5"/>
      <c r="S24" s="5"/>
      <c r="T24" s="5"/>
      <c r="U24" s="5">
        <f t="shared" si="0"/>
        <v>436000</v>
      </c>
      <c r="V24" s="7">
        <f>+L24-U24</f>
        <v>4064000</v>
      </c>
      <c r="W24" s="8"/>
      <c r="X24" s="9"/>
      <c r="Y24" s="8">
        <f t="shared" si="3"/>
        <v>4064000</v>
      </c>
    </row>
    <row r="25" spans="1:25" x14ac:dyDescent="0.25">
      <c r="A25" s="103"/>
      <c r="B25" s="14">
        <f t="shared" si="4"/>
        <v>22</v>
      </c>
      <c r="C25" s="11" t="s">
        <v>49</v>
      </c>
      <c r="D25" s="6" t="s">
        <v>27</v>
      </c>
      <c r="E25" s="5">
        <v>5500000</v>
      </c>
      <c r="F25" s="12">
        <v>30</v>
      </c>
      <c r="G25" s="5">
        <f t="shared" si="17"/>
        <v>5500000</v>
      </c>
      <c r="H25" s="5"/>
      <c r="I25" s="5"/>
      <c r="J25" s="5"/>
      <c r="K25" s="5"/>
      <c r="L25" s="5">
        <f t="shared" ref="L25" si="26">SUM(G25:J25)+K25</f>
        <v>5500000</v>
      </c>
      <c r="M25" s="5">
        <f>+E25*4%</f>
        <v>220000</v>
      </c>
      <c r="N25" s="5">
        <f>+E25*5%</f>
        <v>275000</v>
      </c>
      <c r="O25" s="5"/>
      <c r="P25" s="5"/>
      <c r="Q25" s="17">
        <v>141000</v>
      </c>
      <c r="R25" s="5"/>
      <c r="S25" s="5"/>
      <c r="T25" s="5"/>
      <c r="U25" s="5">
        <f t="shared" ref="U25" si="27">SUM(M25:T25)</f>
        <v>636000</v>
      </c>
      <c r="V25" s="7">
        <f>+L25-U25</f>
        <v>4864000</v>
      </c>
      <c r="W25" s="8"/>
      <c r="X25" s="9"/>
      <c r="Y25" s="8">
        <f t="shared" si="3"/>
        <v>4864000</v>
      </c>
    </row>
    <row r="26" spans="1:25" x14ac:dyDescent="0.25">
      <c r="A26" s="103"/>
      <c r="B26" s="14">
        <f t="shared" si="4"/>
        <v>23</v>
      </c>
      <c r="C26" s="11" t="s">
        <v>193</v>
      </c>
      <c r="D26" s="6"/>
      <c r="E26" s="5">
        <v>6600000</v>
      </c>
      <c r="F26" s="12">
        <v>7</v>
      </c>
      <c r="G26" s="5">
        <f>+E26/30*F26</f>
        <v>1540000</v>
      </c>
      <c r="H26" s="5"/>
      <c r="I26" s="5"/>
      <c r="J26" s="5"/>
      <c r="K26" s="5"/>
      <c r="L26" s="5">
        <f t="shared" ref="L26" si="28">SUM(G26:J26)+K26</f>
        <v>1540000</v>
      </c>
      <c r="M26" s="5">
        <f>+G26*4%</f>
        <v>61600</v>
      </c>
      <c r="N26" s="5">
        <f>+G26*4%</f>
        <v>61600</v>
      </c>
      <c r="O26" s="5"/>
      <c r="P26" s="5"/>
      <c r="Q26" s="17"/>
      <c r="R26" s="5"/>
      <c r="S26" s="5"/>
      <c r="T26" s="5"/>
      <c r="U26" s="5">
        <f>SUM(M26:T26)</f>
        <v>123200</v>
      </c>
      <c r="V26" s="7">
        <f>+L26-U26</f>
        <v>1416800</v>
      </c>
      <c r="W26" s="8"/>
      <c r="X26" s="9"/>
      <c r="Y26" s="8">
        <f>V26+W26-X26</f>
        <v>1416800</v>
      </c>
    </row>
    <row r="27" spans="1:25" x14ac:dyDescent="0.25">
      <c r="A27" s="103"/>
      <c r="B27" s="14">
        <f t="shared" si="4"/>
        <v>24</v>
      </c>
      <c r="C27" s="11" t="s">
        <v>50</v>
      </c>
      <c r="D27" s="6" t="s">
        <v>27</v>
      </c>
      <c r="E27" s="5">
        <v>4500000</v>
      </c>
      <c r="F27" s="12">
        <v>30</v>
      </c>
      <c r="G27" s="5">
        <f>+E27</f>
        <v>4500000</v>
      </c>
      <c r="H27" s="2"/>
      <c r="I27" s="2"/>
      <c r="J27" s="5"/>
      <c r="K27" s="5"/>
      <c r="L27" s="5">
        <f t="shared" ref="L27" si="29">SUM(G27:J27)+K27</f>
        <v>4500000</v>
      </c>
      <c r="M27" s="5">
        <f>+E27*4%</f>
        <v>180000</v>
      </c>
      <c r="N27" s="5">
        <f>+E27*5%</f>
        <v>225000</v>
      </c>
      <c r="O27" s="5"/>
      <c r="P27" s="5"/>
      <c r="Q27" s="17">
        <v>72000</v>
      </c>
      <c r="R27" s="5"/>
      <c r="S27" s="5"/>
      <c r="T27" s="5"/>
      <c r="U27" s="5">
        <f t="shared" ref="U27" si="30">SUM(M27:T27)</f>
        <v>477000</v>
      </c>
      <c r="V27" s="7">
        <f>+L27-U27</f>
        <v>4023000</v>
      </c>
      <c r="W27" s="8"/>
      <c r="X27" s="9"/>
      <c r="Y27" s="8">
        <f t="shared" ref="Y27:Y88" si="31">V27+W27-X27</f>
        <v>4023000</v>
      </c>
    </row>
    <row r="28" spans="1:25" x14ac:dyDescent="0.25">
      <c r="A28" s="103"/>
      <c r="B28" s="14">
        <f t="shared" si="4"/>
        <v>25</v>
      </c>
      <c r="C28" s="11" t="s">
        <v>51</v>
      </c>
      <c r="D28" s="6" t="s">
        <v>27</v>
      </c>
      <c r="E28" s="5">
        <v>6000000</v>
      </c>
      <c r="F28" s="12">
        <v>30</v>
      </c>
      <c r="G28" s="5">
        <f t="shared" si="17"/>
        <v>6000000</v>
      </c>
      <c r="H28" s="5"/>
      <c r="I28" s="5"/>
      <c r="J28" s="2"/>
      <c r="K28" s="2"/>
      <c r="L28" s="5">
        <f t="shared" si="2"/>
        <v>6000000</v>
      </c>
      <c r="M28" s="5">
        <f>+E28*4%</f>
        <v>240000</v>
      </c>
      <c r="N28" s="5">
        <f>E28*5%</f>
        <v>300000</v>
      </c>
      <c r="O28" s="5"/>
      <c r="P28" s="5"/>
      <c r="Q28" s="17">
        <v>79000</v>
      </c>
      <c r="R28" s="5"/>
      <c r="S28" s="5"/>
      <c r="T28" s="5"/>
      <c r="U28" s="5">
        <f t="shared" si="0"/>
        <v>619000</v>
      </c>
      <c r="V28" s="7">
        <f>L28-U28</f>
        <v>5381000</v>
      </c>
      <c r="W28" s="8"/>
      <c r="X28" s="9"/>
      <c r="Y28" s="8">
        <f t="shared" si="31"/>
        <v>5381000</v>
      </c>
    </row>
    <row r="29" spans="1:25" ht="16.5" customHeight="1" x14ac:dyDescent="0.25">
      <c r="A29" s="103"/>
      <c r="B29" s="14">
        <f t="shared" si="4"/>
        <v>26</v>
      </c>
      <c r="C29" s="11" t="s">
        <v>53</v>
      </c>
      <c r="D29" s="6" t="s">
        <v>27</v>
      </c>
      <c r="E29" s="5">
        <v>3500000</v>
      </c>
      <c r="F29" s="12">
        <v>30</v>
      </c>
      <c r="G29" s="5">
        <f t="shared" si="17"/>
        <v>3500000</v>
      </c>
      <c r="H29" s="5"/>
      <c r="I29" s="5"/>
      <c r="J29" s="5"/>
      <c r="K29" s="5"/>
      <c r="L29" s="5">
        <f>SUM(G29:J29)+K29</f>
        <v>3500000</v>
      </c>
      <c r="M29" s="5">
        <v>140000</v>
      </c>
      <c r="N29" s="5">
        <v>175000</v>
      </c>
      <c r="O29" s="5"/>
      <c r="P29" s="5"/>
      <c r="Q29" s="17">
        <v>0</v>
      </c>
      <c r="R29" s="5"/>
      <c r="S29" s="5">
        <v>111000</v>
      </c>
      <c r="T29" s="5"/>
      <c r="U29" s="5">
        <f t="shared" ref="U29" si="32">SUM(M29:T29)</f>
        <v>426000</v>
      </c>
      <c r="V29" s="7">
        <f>L29-U29</f>
        <v>3074000</v>
      </c>
      <c r="W29" s="8"/>
      <c r="X29" s="9"/>
      <c r="Y29" s="8">
        <f t="shared" si="31"/>
        <v>3074000</v>
      </c>
    </row>
    <row r="30" spans="1:25" x14ac:dyDescent="0.25">
      <c r="A30" s="103"/>
      <c r="B30" s="14">
        <f t="shared" si="4"/>
        <v>27</v>
      </c>
      <c r="C30" s="11" t="s">
        <v>54</v>
      </c>
      <c r="D30" s="6" t="s">
        <v>27</v>
      </c>
      <c r="E30" s="5">
        <v>4800000</v>
      </c>
      <c r="F30" s="12">
        <v>30</v>
      </c>
      <c r="G30" s="5">
        <f>+E30-K30</f>
        <v>3360000</v>
      </c>
      <c r="H30" s="5"/>
      <c r="I30" s="5"/>
      <c r="J30" s="5">
        <v>1900000</v>
      </c>
      <c r="K30" s="5">
        <f>+E30/30*9</f>
        <v>1440000</v>
      </c>
      <c r="L30" s="5">
        <f>+G30+H30+I30+J30+K30</f>
        <v>6700000</v>
      </c>
      <c r="M30" s="5">
        <f>+E30*4%</f>
        <v>192000</v>
      </c>
      <c r="N30" s="5">
        <f>+E30*5%</f>
        <v>240000</v>
      </c>
      <c r="O30" s="5"/>
      <c r="P30" s="5"/>
      <c r="Q30" s="5">
        <v>0</v>
      </c>
      <c r="R30" s="5">
        <v>1300000</v>
      </c>
      <c r="S30" s="5"/>
      <c r="T30" s="5">
        <v>209579</v>
      </c>
      <c r="U30" s="5">
        <f t="shared" si="0"/>
        <v>1941579</v>
      </c>
      <c r="V30" s="7">
        <f>L30-U30</f>
        <v>4758421</v>
      </c>
      <c r="W30" s="8"/>
      <c r="X30" s="9"/>
      <c r="Y30" s="8">
        <f t="shared" si="31"/>
        <v>4758421</v>
      </c>
    </row>
    <row r="31" spans="1:25" ht="25.5" customHeight="1" x14ac:dyDescent="0.25">
      <c r="A31" s="103"/>
      <c r="B31" s="14">
        <f t="shared" si="4"/>
        <v>28</v>
      </c>
      <c r="C31" s="11" t="s">
        <v>55</v>
      </c>
      <c r="D31" s="6" t="s">
        <v>27</v>
      </c>
      <c r="E31" s="5">
        <v>4280000</v>
      </c>
      <c r="F31" s="12">
        <v>30</v>
      </c>
      <c r="G31" s="5">
        <f>+E31-K31</f>
        <v>3709333.3333333335</v>
      </c>
      <c r="H31" s="5"/>
      <c r="I31" s="5"/>
      <c r="J31" s="5"/>
      <c r="K31" s="5">
        <f>+E31/30*4</f>
        <v>570666.66666666663</v>
      </c>
      <c r="L31" s="5">
        <f t="shared" si="2"/>
        <v>4280000</v>
      </c>
      <c r="M31" s="5">
        <f>+L31*4%</f>
        <v>171200</v>
      </c>
      <c r="N31" s="5">
        <f>+L31*5%</f>
        <v>214000</v>
      </c>
      <c r="O31" s="5"/>
      <c r="P31" s="5"/>
      <c r="Q31" s="17">
        <v>31064</v>
      </c>
      <c r="R31" s="5"/>
      <c r="S31" s="5"/>
      <c r="T31" s="5"/>
      <c r="U31" s="5">
        <f t="shared" si="0"/>
        <v>416264</v>
      </c>
      <c r="V31" s="7">
        <f>L31-U31</f>
        <v>3863736</v>
      </c>
      <c r="W31" s="8"/>
      <c r="X31" s="9"/>
      <c r="Y31" s="8">
        <f t="shared" si="31"/>
        <v>3863736</v>
      </c>
    </row>
    <row r="32" spans="1:25" x14ac:dyDescent="0.25">
      <c r="A32" s="103"/>
      <c r="B32" s="14">
        <f t="shared" si="4"/>
        <v>29</v>
      </c>
      <c r="C32" s="11" t="s">
        <v>111</v>
      </c>
      <c r="D32" s="6" t="s">
        <v>27</v>
      </c>
      <c r="E32" s="5">
        <v>3500000</v>
      </c>
      <c r="F32" s="12">
        <v>30</v>
      </c>
      <c r="G32" s="5">
        <f>+E32-I32</f>
        <v>3266666.6666666665</v>
      </c>
      <c r="H32" s="5"/>
      <c r="I32" s="5">
        <f>+E32/30*2</f>
        <v>233333.33333333334</v>
      </c>
      <c r="J32" s="5"/>
      <c r="K32" s="5"/>
      <c r="L32" s="5">
        <f>SUM(G32:J32)+K32</f>
        <v>3500000</v>
      </c>
      <c r="M32" s="5">
        <f>+E32*4%</f>
        <v>140000</v>
      </c>
      <c r="N32" s="5">
        <f>+E32*5%</f>
        <v>175000</v>
      </c>
      <c r="O32" s="5"/>
      <c r="P32" s="5"/>
      <c r="Q32" s="5">
        <v>0</v>
      </c>
      <c r="R32" s="5"/>
      <c r="S32" s="5"/>
      <c r="T32" s="5">
        <v>257196</v>
      </c>
      <c r="U32" s="5">
        <f>SUM(M32:T32)</f>
        <v>572196</v>
      </c>
      <c r="V32" s="7">
        <f>+L32-U32</f>
        <v>2927804</v>
      </c>
      <c r="W32" s="8"/>
      <c r="X32" s="9"/>
      <c r="Y32" s="8">
        <f t="shared" si="31"/>
        <v>2927804</v>
      </c>
    </row>
    <row r="33" spans="1:27" x14ac:dyDescent="0.25">
      <c r="A33" s="103"/>
      <c r="B33" s="14">
        <f t="shared" si="4"/>
        <v>30</v>
      </c>
      <c r="C33" s="11" t="s">
        <v>56</v>
      </c>
      <c r="D33" s="6" t="s">
        <v>27</v>
      </c>
      <c r="E33" s="5">
        <v>6000000</v>
      </c>
      <c r="F33" s="12">
        <v>30</v>
      </c>
      <c r="G33" s="5">
        <f t="shared" ref="G33:G44" si="33">+E33/30*F33</f>
        <v>6000000</v>
      </c>
      <c r="H33" s="5"/>
      <c r="I33" s="5"/>
      <c r="J33" s="5"/>
      <c r="K33" s="5"/>
      <c r="L33" s="5">
        <f t="shared" si="2"/>
        <v>6000000</v>
      </c>
      <c r="M33" s="5">
        <f>+L33*4%</f>
        <v>240000</v>
      </c>
      <c r="N33" s="5">
        <f>+L33*5%</f>
        <v>300000</v>
      </c>
      <c r="O33" s="5"/>
      <c r="P33" s="5"/>
      <c r="Q33" s="5">
        <v>208000</v>
      </c>
      <c r="R33" s="5"/>
      <c r="S33" s="5">
        <v>122614</v>
      </c>
      <c r="T33" s="5"/>
      <c r="U33" s="5">
        <f t="shared" si="0"/>
        <v>870614</v>
      </c>
      <c r="V33" s="7">
        <f t="shared" ref="V33:V34" si="34">+L33-U33</f>
        <v>5129386</v>
      </c>
      <c r="W33" s="8"/>
      <c r="X33" s="9"/>
      <c r="Y33" s="8">
        <f t="shared" si="31"/>
        <v>5129386</v>
      </c>
    </row>
    <row r="34" spans="1:27" x14ac:dyDescent="0.25">
      <c r="A34" s="103"/>
      <c r="B34" s="14">
        <f t="shared" si="4"/>
        <v>31</v>
      </c>
      <c r="C34" s="11" t="s">
        <v>57</v>
      </c>
      <c r="D34" s="6" t="s">
        <v>27</v>
      </c>
      <c r="E34" s="5">
        <v>4500000</v>
      </c>
      <c r="F34" s="12">
        <v>30</v>
      </c>
      <c r="G34" s="5">
        <f t="shared" si="33"/>
        <v>4500000</v>
      </c>
      <c r="H34" s="5"/>
      <c r="I34" s="5"/>
      <c r="J34" s="5">
        <v>500000</v>
      </c>
      <c r="K34" s="5"/>
      <c r="L34" s="5">
        <f t="shared" si="2"/>
        <v>5000000</v>
      </c>
      <c r="M34" s="5">
        <f t="shared" ref="M34" si="35">+G34*4%</f>
        <v>180000</v>
      </c>
      <c r="N34" s="5">
        <f t="shared" ref="N34" si="36">+G34*5%</f>
        <v>225000</v>
      </c>
      <c r="O34" s="5"/>
      <c r="P34" s="5"/>
      <c r="Q34" s="5">
        <v>11000</v>
      </c>
      <c r="R34" s="5"/>
      <c r="S34" s="5"/>
      <c r="T34" s="5">
        <v>551399</v>
      </c>
      <c r="U34" s="5">
        <f t="shared" si="0"/>
        <v>967399</v>
      </c>
      <c r="V34" s="7">
        <f t="shared" si="34"/>
        <v>4032601</v>
      </c>
      <c r="W34" s="8"/>
      <c r="X34" s="9"/>
      <c r="Y34" s="8">
        <f t="shared" si="31"/>
        <v>4032601</v>
      </c>
    </row>
    <row r="35" spans="1:27" x14ac:dyDescent="0.25">
      <c r="A35" s="103"/>
      <c r="B35" s="14">
        <f t="shared" si="4"/>
        <v>32</v>
      </c>
      <c r="C35" s="3" t="s">
        <v>58</v>
      </c>
      <c r="D35" s="4" t="s">
        <v>27</v>
      </c>
      <c r="E35" s="5">
        <v>5400000</v>
      </c>
      <c r="F35" s="12">
        <v>30</v>
      </c>
      <c r="G35" s="5">
        <f>+E35-K35</f>
        <v>5400000</v>
      </c>
      <c r="H35" s="5"/>
      <c r="I35" s="5"/>
      <c r="J35" s="5"/>
      <c r="K35" s="5"/>
      <c r="L35" s="5">
        <f>SUM(G35:J35)+K35</f>
        <v>5400000</v>
      </c>
      <c r="M35" s="5">
        <f>+G35*4%</f>
        <v>216000</v>
      </c>
      <c r="N35" s="5">
        <f>+G35*5%</f>
        <v>270000</v>
      </c>
      <c r="O35" s="5"/>
      <c r="P35" s="5"/>
      <c r="Q35" s="5">
        <v>48240</v>
      </c>
      <c r="R35" s="5"/>
      <c r="S35" s="5"/>
      <c r="T35" s="5">
        <v>541379</v>
      </c>
      <c r="U35" s="5">
        <f t="shared" si="0"/>
        <v>1075619</v>
      </c>
      <c r="V35" s="7">
        <f>L35-U35</f>
        <v>4324381</v>
      </c>
      <c r="W35" s="8"/>
      <c r="X35" s="9"/>
      <c r="Y35" s="8">
        <f t="shared" si="31"/>
        <v>4324381</v>
      </c>
    </row>
    <row r="36" spans="1:27" ht="24.75" customHeight="1" x14ac:dyDescent="0.25">
      <c r="A36" s="103"/>
      <c r="B36" s="14">
        <f t="shared" si="4"/>
        <v>33</v>
      </c>
      <c r="C36" s="11" t="s">
        <v>59</v>
      </c>
      <c r="D36" s="6" t="s">
        <v>27</v>
      </c>
      <c r="E36" s="5">
        <v>6420000</v>
      </c>
      <c r="F36" s="12">
        <v>30</v>
      </c>
      <c r="G36" s="5">
        <f>+E36</f>
        <v>6420000</v>
      </c>
      <c r="H36" s="5"/>
      <c r="I36" s="5"/>
      <c r="J36" s="5">
        <v>500000</v>
      </c>
      <c r="K36" s="5"/>
      <c r="L36" s="5">
        <f>SUM(G36:J36)+K36</f>
        <v>6920000</v>
      </c>
      <c r="M36" s="5">
        <f>+E36*4%</f>
        <v>256800</v>
      </c>
      <c r="N36" s="5">
        <f>+E36*5%</f>
        <v>321000</v>
      </c>
      <c r="O36" s="5"/>
      <c r="P36" s="5">
        <v>1021210</v>
      </c>
      <c r="Q36" s="5">
        <v>231000</v>
      </c>
      <c r="R36" s="5"/>
      <c r="S36" s="5"/>
      <c r="T36" s="5"/>
      <c r="U36" s="5">
        <f t="shared" si="0"/>
        <v>1830010</v>
      </c>
      <c r="V36" s="7">
        <f>+L36-U36</f>
        <v>5089990</v>
      </c>
      <c r="W36" s="8"/>
      <c r="X36" s="9"/>
      <c r="Y36" s="8">
        <f t="shared" si="31"/>
        <v>5089990</v>
      </c>
    </row>
    <row r="37" spans="1:27" x14ac:dyDescent="0.25">
      <c r="A37" s="103"/>
      <c r="B37" s="14">
        <f t="shared" si="4"/>
        <v>34</v>
      </c>
      <c r="C37" s="3" t="s">
        <v>60</v>
      </c>
      <c r="D37" s="4" t="s">
        <v>27</v>
      </c>
      <c r="E37" s="5">
        <v>6900000</v>
      </c>
      <c r="F37" s="12">
        <v>30</v>
      </c>
      <c r="G37" s="5">
        <f>+E37-K37</f>
        <v>6670000</v>
      </c>
      <c r="H37" s="5"/>
      <c r="I37" s="5"/>
      <c r="J37" s="5">
        <v>1500000</v>
      </c>
      <c r="K37" s="1">
        <f>+E37/30</f>
        <v>230000</v>
      </c>
      <c r="L37" s="5">
        <f t="shared" ref="L37:L76" si="37">SUM(G37:J37)+K37</f>
        <v>8400000</v>
      </c>
      <c r="M37" s="5">
        <f>+E37*0.04</f>
        <v>276000</v>
      </c>
      <c r="N37" s="5">
        <f>+E37*0.05</f>
        <v>345000</v>
      </c>
      <c r="O37" s="5"/>
      <c r="P37" s="5"/>
      <c r="Q37" s="5">
        <v>345000</v>
      </c>
      <c r="R37" s="5"/>
      <c r="S37" s="5"/>
      <c r="T37" s="5"/>
      <c r="U37" s="5">
        <f t="shared" si="0"/>
        <v>966000</v>
      </c>
      <c r="V37" s="7">
        <f>L37-U37</f>
        <v>7434000</v>
      </c>
      <c r="W37" s="8"/>
      <c r="X37" s="9"/>
      <c r="Y37" s="8">
        <f t="shared" si="31"/>
        <v>7434000</v>
      </c>
    </row>
    <row r="38" spans="1:27" ht="19.5" customHeight="1" x14ac:dyDescent="0.25">
      <c r="A38" s="103"/>
      <c r="B38" s="14">
        <f t="shared" si="4"/>
        <v>35</v>
      </c>
      <c r="C38" s="3" t="s">
        <v>62</v>
      </c>
      <c r="D38" s="4" t="s">
        <v>27</v>
      </c>
      <c r="E38" s="5">
        <v>5500000</v>
      </c>
      <c r="F38" s="12">
        <v>30</v>
      </c>
      <c r="G38" s="5">
        <f t="shared" ref="G38" si="38">+E38/30*F38</f>
        <v>5500000</v>
      </c>
      <c r="H38" s="5"/>
      <c r="I38" s="5"/>
      <c r="J38" s="5">
        <v>500000</v>
      </c>
      <c r="K38" s="5"/>
      <c r="L38" s="5">
        <f t="shared" ref="L38" si="39">SUM(G38:J38)+K38</f>
        <v>6000000</v>
      </c>
      <c r="M38" s="5">
        <f>+G38*4%</f>
        <v>220000</v>
      </c>
      <c r="N38" s="5">
        <f>+G38*5%</f>
        <v>275000</v>
      </c>
      <c r="O38" s="5"/>
      <c r="P38" s="5"/>
      <c r="Q38" s="5">
        <v>144000</v>
      </c>
      <c r="R38" s="5"/>
      <c r="S38" s="5"/>
      <c r="T38" s="5"/>
      <c r="U38" s="5">
        <f t="shared" ref="U38" si="40">SUM(M38:T38)</f>
        <v>639000</v>
      </c>
      <c r="V38" s="7">
        <f t="shared" ref="V38" si="41">L38-U38</f>
        <v>5361000</v>
      </c>
      <c r="W38" s="8"/>
      <c r="X38" s="9"/>
      <c r="Y38" s="8">
        <f t="shared" si="31"/>
        <v>5361000</v>
      </c>
    </row>
    <row r="39" spans="1:27" x14ac:dyDescent="0.25">
      <c r="A39" s="103"/>
      <c r="B39" s="14">
        <f t="shared" si="4"/>
        <v>36</v>
      </c>
      <c r="C39" s="11" t="s">
        <v>63</v>
      </c>
      <c r="D39" s="6" t="s">
        <v>27</v>
      </c>
      <c r="E39" s="5">
        <v>5350000</v>
      </c>
      <c r="F39" s="12">
        <v>30</v>
      </c>
      <c r="G39" s="5">
        <f>+E39-K39</f>
        <v>5350000</v>
      </c>
      <c r="H39" s="5"/>
      <c r="I39" s="5"/>
      <c r="J39" s="5"/>
      <c r="K39" s="5"/>
      <c r="L39" s="5">
        <f t="shared" si="37"/>
        <v>5350000</v>
      </c>
      <c r="M39" s="5">
        <v>214000</v>
      </c>
      <c r="N39" s="5">
        <v>267500</v>
      </c>
      <c r="O39" s="5"/>
      <c r="P39" s="5"/>
      <c r="Q39" s="5">
        <v>121000</v>
      </c>
      <c r="R39" s="5"/>
      <c r="S39" s="5"/>
      <c r="T39" s="5"/>
      <c r="U39" s="5">
        <f>SUM(M39:T39)</f>
        <v>602500</v>
      </c>
      <c r="V39" s="7">
        <f t="shared" ref="V39:V44" si="42">+L39-U39</f>
        <v>4747500</v>
      </c>
      <c r="W39" s="8"/>
      <c r="X39" s="9"/>
      <c r="Y39" s="8">
        <f t="shared" si="31"/>
        <v>4747500</v>
      </c>
    </row>
    <row r="40" spans="1:27" ht="17.25" customHeight="1" x14ac:dyDescent="0.25">
      <c r="A40" s="103"/>
      <c r="B40" s="14">
        <f t="shared" si="4"/>
        <v>37</v>
      </c>
      <c r="C40" s="11" t="s">
        <v>149</v>
      </c>
      <c r="D40" s="6"/>
      <c r="E40" s="5">
        <v>4000000</v>
      </c>
      <c r="F40" s="12">
        <v>30</v>
      </c>
      <c r="G40" s="5">
        <f t="shared" ref="G40:G43" si="43">+E40/30*F40</f>
        <v>4000000.0000000005</v>
      </c>
      <c r="H40" s="5"/>
      <c r="I40" s="5"/>
      <c r="J40" s="5"/>
      <c r="K40" s="5"/>
      <c r="L40" s="5">
        <f t="shared" ref="L40" si="44">SUM(G40:J40)+K40</f>
        <v>4000000.0000000005</v>
      </c>
      <c r="M40" s="5">
        <f>+G40*4%</f>
        <v>160000.00000000003</v>
      </c>
      <c r="N40" s="5">
        <f>+G40*5%</f>
        <v>200000.00000000003</v>
      </c>
      <c r="O40" s="5"/>
      <c r="P40" s="5"/>
      <c r="Q40" s="5">
        <v>0</v>
      </c>
      <c r="R40" s="5"/>
      <c r="S40" s="5"/>
      <c r="T40" s="5"/>
      <c r="U40" s="5">
        <f>SUM(M40:T40)</f>
        <v>360000.00000000006</v>
      </c>
      <c r="V40" s="7">
        <f t="shared" si="42"/>
        <v>3640000.0000000005</v>
      </c>
      <c r="W40" s="8"/>
      <c r="X40" s="9"/>
      <c r="Y40" s="8">
        <f t="shared" si="31"/>
        <v>3640000.0000000005</v>
      </c>
    </row>
    <row r="41" spans="1:27" ht="21" customHeight="1" x14ac:dyDescent="0.25">
      <c r="A41" s="103"/>
      <c r="B41" s="14">
        <f t="shared" si="4"/>
        <v>38</v>
      </c>
      <c r="C41" s="11" t="s">
        <v>64</v>
      </c>
      <c r="D41" s="6" t="s">
        <v>27</v>
      </c>
      <c r="E41" s="5">
        <v>4500000</v>
      </c>
      <c r="F41" s="12">
        <v>30</v>
      </c>
      <c r="G41" s="5">
        <f t="shared" si="43"/>
        <v>4500000</v>
      </c>
      <c r="H41" s="5"/>
      <c r="I41" s="5"/>
      <c r="J41" s="5"/>
      <c r="K41" s="5">
        <v>2700000</v>
      </c>
      <c r="L41" s="5">
        <f t="shared" si="37"/>
        <v>7200000</v>
      </c>
      <c r="M41" s="5">
        <f>+E41*4%</f>
        <v>180000</v>
      </c>
      <c r="N41" s="5">
        <f>+E41*5%</f>
        <v>225000</v>
      </c>
      <c r="O41" s="5"/>
      <c r="P41" s="5"/>
      <c r="Q41" s="5">
        <v>10000</v>
      </c>
      <c r="R41" s="5"/>
      <c r="S41" s="5"/>
      <c r="T41" s="5">
        <v>317224</v>
      </c>
      <c r="U41" s="5">
        <f>SUM(M41:T41)</f>
        <v>732224</v>
      </c>
      <c r="V41" s="7">
        <f t="shared" si="42"/>
        <v>6467776</v>
      </c>
      <c r="W41" s="8"/>
      <c r="X41" s="9"/>
      <c r="Y41" s="8">
        <f t="shared" si="31"/>
        <v>6467776</v>
      </c>
    </row>
    <row r="42" spans="1:27" ht="26.25" customHeight="1" x14ac:dyDescent="0.25">
      <c r="A42" s="103"/>
      <c r="B42" s="14">
        <f t="shared" si="4"/>
        <v>39</v>
      </c>
      <c r="C42" s="11" t="s">
        <v>66</v>
      </c>
      <c r="D42" s="6" t="s">
        <v>27</v>
      </c>
      <c r="E42" s="5">
        <v>4800000</v>
      </c>
      <c r="F42" s="12">
        <v>30</v>
      </c>
      <c r="G42" s="5">
        <f t="shared" si="43"/>
        <v>4800000</v>
      </c>
      <c r="H42" s="5"/>
      <c r="I42" s="5"/>
      <c r="J42" s="5"/>
      <c r="K42" s="5"/>
      <c r="L42" s="5">
        <f t="shared" ref="L42" si="45">SUM(G42:J42)+K42</f>
        <v>4800000</v>
      </c>
      <c r="M42" s="5">
        <f>+G42*4%</f>
        <v>192000</v>
      </c>
      <c r="N42" s="5">
        <f>+G42*5%</f>
        <v>240000</v>
      </c>
      <c r="O42" s="5"/>
      <c r="P42" s="5"/>
      <c r="Q42" s="5">
        <v>51000</v>
      </c>
      <c r="R42" s="5"/>
      <c r="S42" s="5"/>
      <c r="T42" s="5">
        <v>1198791</v>
      </c>
      <c r="U42" s="5">
        <f t="shared" ref="U42" si="46">SUM(M42:T42)</f>
        <v>1681791</v>
      </c>
      <c r="V42" s="7">
        <f t="shared" si="42"/>
        <v>3118209</v>
      </c>
      <c r="W42" s="8"/>
      <c r="X42" s="9"/>
      <c r="Y42" s="8">
        <f t="shared" si="31"/>
        <v>3118209</v>
      </c>
    </row>
    <row r="43" spans="1:27" ht="26.25" customHeight="1" x14ac:dyDescent="0.25">
      <c r="A43" s="103"/>
      <c r="B43" s="14">
        <f t="shared" si="4"/>
        <v>40</v>
      </c>
      <c r="C43" s="11" t="s">
        <v>67</v>
      </c>
      <c r="D43" s="6"/>
      <c r="E43" s="5">
        <v>4000000</v>
      </c>
      <c r="F43" s="12">
        <v>30</v>
      </c>
      <c r="G43" s="5">
        <f t="shared" si="43"/>
        <v>4000000.0000000005</v>
      </c>
      <c r="H43" s="5"/>
      <c r="I43" s="5"/>
      <c r="J43" s="5"/>
      <c r="K43" s="5"/>
      <c r="L43" s="5">
        <f t="shared" ref="L43" si="47">SUM(G43:J43)+K43</f>
        <v>4000000.0000000005</v>
      </c>
      <c r="M43" s="5">
        <f>+G43*4%</f>
        <v>160000.00000000003</v>
      </c>
      <c r="N43" s="5">
        <f>+G43*5%</f>
        <v>200000.00000000003</v>
      </c>
      <c r="O43" s="5"/>
      <c r="P43" s="5"/>
      <c r="Q43" s="5">
        <v>4500</v>
      </c>
      <c r="R43" s="5"/>
      <c r="S43" s="5"/>
      <c r="T43" s="5"/>
      <c r="U43" s="5">
        <f t="shared" ref="U43" si="48">SUM(M43:T43)</f>
        <v>364500.00000000006</v>
      </c>
      <c r="V43" s="7">
        <f t="shared" si="42"/>
        <v>3635500.0000000005</v>
      </c>
      <c r="W43" s="8"/>
      <c r="X43" s="9"/>
      <c r="Y43" s="8">
        <f t="shared" si="31"/>
        <v>3635500.0000000005</v>
      </c>
    </row>
    <row r="44" spans="1:27" ht="24" customHeight="1" x14ac:dyDescent="0.25">
      <c r="A44" s="103"/>
      <c r="B44" s="14">
        <f t="shared" si="4"/>
        <v>41</v>
      </c>
      <c r="C44" s="11" t="s">
        <v>69</v>
      </c>
      <c r="D44" s="6" t="s">
        <v>27</v>
      </c>
      <c r="E44" s="5">
        <v>6000000</v>
      </c>
      <c r="F44" s="12">
        <v>30</v>
      </c>
      <c r="G44" s="5">
        <f t="shared" si="33"/>
        <v>6000000</v>
      </c>
      <c r="H44" s="5"/>
      <c r="I44" s="5"/>
      <c r="J44" s="5">
        <v>400000</v>
      </c>
      <c r="K44" s="5"/>
      <c r="L44" s="5">
        <f t="shared" si="37"/>
        <v>6400000</v>
      </c>
      <c r="M44" s="5">
        <f>+G44*4%</f>
        <v>240000</v>
      </c>
      <c r="N44" s="5">
        <f>+G44*5%</f>
        <v>300000</v>
      </c>
      <c r="O44" s="5"/>
      <c r="P44" s="5"/>
      <c r="Q44" s="5">
        <v>126000</v>
      </c>
      <c r="R44" s="5"/>
      <c r="S44" s="5"/>
      <c r="T44" s="5"/>
      <c r="U44" s="5">
        <f t="shared" si="0"/>
        <v>666000</v>
      </c>
      <c r="V44" s="7">
        <f t="shared" si="42"/>
        <v>5734000</v>
      </c>
      <c r="W44" s="8"/>
      <c r="X44" s="9"/>
      <c r="Y44" s="8">
        <f t="shared" si="31"/>
        <v>5734000</v>
      </c>
      <c r="Z44" s="8">
        <v>4886979</v>
      </c>
      <c r="AA44" s="20">
        <f>+Y44-Z44</f>
        <v>847021</v>
      </c>
    </row>
    <row r="45" spans="1:27" ht="30.75" customHeight="1" x14ac:dyDescent="0.25">
      <c r="A45" s="103"/>
      <c r="B45" s="14">
        <f t="shared" si="4"/>
        <v>42</v>
      </c>
      <c r="C45" s="11" t="s">
        <v>70</v>
      </c>
      <c r="D45" s="6" t="s">
        <v>27</v>
      </c>
      <c r="E45" s="5">
        <v>6000000</v>
      </c>
      <c r="F45" s="12">
        <v>30</v>
      </c>
      <c r="G45" s="5">
        <f>+E45-K45</f>
        <v>6000000</v>
      </c>
      <c r="H45" s="5"/>
      <c r="I45" s="5"/>
      <c r="J45" s="5">
        <v>400000</v>
      </c>
      <c r="K45" s="5"/>
      <c r="L45" s="5">
        <f t="shared" si="37"/>
        <v>6400000</v>
      </c>
      <c r="M45" s="5">
        <f>+G45*4%</f>
        <v>240000</v>
      </c>
      <c r="N45" s="5">
        <f>+G45*5%</f>
        <v>300000</v>
      </c>
      <c r="O45" s="5"/>
      <c r="P45" s="5"/>
      <c r="Q45" s="5">
        <v>120000</v>
      </c>
      <c r="R45" s="5"/>
      <c r="S45" s="5"/>
      <c r="T45" s="5"/>
      <c r="U45" s="5">
        <f t="shared" si="0"/>
        <v>660000</v>
      </c>
      <c r="V45" s="7">
        <f t="shared" ref="V45:V48" si="49">L45-U45</f>
        <v>5740000</v>
      </c>
      <c r="W45" s="8"/>
      <c r="X45" s="9"/>
      <c r="Y45" s="8">
        <f t="shared" si="31"/>
        <v>5740000</v>
      </c>
    </row>
    <row r="46" spans="1:27" ht="18" customHeight="1" x14ac:dyDescent="0.25">
      <c r="A46" s="104"/>
      <c r="B46" s="14">
        <f t="shared" si="4"/>
        <v>43</v>
      </c>
      <c r="C46" s="11" t="s">
        <v>72</v>
      </c>
      <c r="D46" s="6" t="s">
        <v>27</v>
      </c>
      <c r="E46" s="5">
        <v>4500000</v>
      </c>
      <c r="F46" s="12">
        <v>30</v>
      </c>
      <c r="G46" s="5">
        <f>+E46-K46</f>
        <v>4500000</v>
      </c>
      <c r="H46" s="5"/>
      <c r="I46" s="5"/>
      <c r="J46" s="5"/>
      <c r="K46" s="5"/>
      <c r="L46" s="5">
        <f t="shared" si="37"/>
        <v>4500000</v>
      </c>
      <c r="M46" s="5">
        <v>180000</v>
      </c>
      <c r="N46" s="5">
        <v>225000</v>
      </c>
      <c r="O46" s="5"/>
      <c r="P46" s="5"/>
      <c r="Q46" s="5">
        <v>31000</v>
      </c>
      <c r="R46" s="5"/>
      <c r="S46" s="5"/>
      <c r="T46" s="5"/>
      <c r="U46" s="5">
        <f t="shared" si="0"/>
        <v>436000</v>
      </c>
      <c r="V46" s="7">
        <f t="shared" si="49"/>
        <v>4064000</v>
      </c>
      <c r="W46" s="8"/>
      <c r="X46" s="9"/>
      <c r="Y46" s="8">
        <f t="shared" si="31"/>
        <v>4064000</v>
      </c>
    </row>
    <row r="47" spans="1:27" ht="21" customHeight="1" x14ac:dyDescent="0.25">
      <c r="A47" s="102" t="s">
        <v>144</v>
      </c>
      <c r="B47" s="14">
        <v>1</v>
      </c>
      <c r="C47" s="11" t="s">
        <v>145</v>
      </c>
      <c r="D47" s="6"/>
      <c r="E47" s="5">
        <v>737717</v>
      </c>
      <c r="F47" s="12">
        <v>30</v>
      </c>
      <c r="G47" s="5">
        <f t="shared" ref="G47:G56" si="50">+E47/30*F47</f>
        <v>737717</v>
      </c>
      <c r="H47" s="5"/>
      <c r="I47" s="5"/>
      <c r="J47" s="5"/>
      <c r="K47" s="5"/>
      <c r="L47" s="5">
        <f t="shared" si="37"/>
        <v>737717</v>
      </c>
      <c r="M47" s="5"/>
      <c r="N47" s="5"/>
      <c r="O47" s="5"/>
      <c r="P47" s="5"/>
      <c r="Q47" s="5"/>
      <c r="R47" s="5"/>
      <c r="S47" s="5"/>
      <c r="T47" s="5"/>
      <c r="U47" s="5"/>
      <c r="V47" s="7">
        <f t="shared" si="49"/>
        <v>737717</v>
      </c>
      <c r="W47" s="8"/>
      <c r="X47" s="9"/>
      <c r="Y47" s="8">
        <f t="shared" si="31"/>
        <v>737717</v>
      </c>
    </row>
    <row r="48" spans="1:27" ht="20.25" customHeight="1" x14ac:dyDescent="0.25">
      <c r="A48" s="103"/>
      <c r="B48" s="14">
        <v>2</v>
      </c>
      <c r="C48" s="11" t="s">
        <v>73</v>
      </c>
      <c r="D48" s="6" t="s">
        <v>27</v>
      </c>
      <c r="E48" s="5">
        <v>3000000</v>
      </c>
      <c r="F48" s="12">
        <v>30</v>
      </c>
      <c r="G48" s="5">
        <f>+E48-K48</f>
        <v>3000000</v>
      </c>
      <c r="H48" s="5"/>
      <c r="I48" s="5"/>
      <c r="J48" s="5"/>
      <c r="K48" s="5"/>
      <c r="L48" s="5">
        <f t="shared" si="37"/>
        <v>3000000</v>
      </c>
      <c r="M48" s="5">
        <v>120000</v>
      </c>
      <c r="N48" s="5">
        <v>150000</v>
      </c>
      <c r="O48" s="5"/>
      <c r="P48" s="5"/>
      <c r="Q48" s="5"/>
      <c r="R48" s="5"/>
      <c r="S48" s="5"/>
      <c r="T48" s="84">
        <f>481778</f>
        <v>481778</v>
      </c>
      <c r="U48" s="5">
        <f t="shared" ref="U48" si="51">SUM(M48:T48)</f>
        <v>751778</v>
      </c>
      <c r="V48" s="7">
        <f t="shared" si="49"/>
        <v>2248222</v>
      </c>
      <c r="W48" s="8"/>
      <c r="X48" s="9"/>
      <c r="Y48" s="8">
        <f t="shared" si="31"/>
        <v>2248222</v>
      </c>
    </row>
    <row r="49" spans="1:25" x14ac:dyDescent="0.25">
      <c r="A49" s="103"/>
      <c r="B49" s="14">
        <v>3</v>
      </c>
      <c r="C49" s="3" t="s">
        <v>76</v>
      </c>
      <c r="D49" s="4" t="s">
        <v>27</v>
      </c>
      <c r="E49" s="5">
        <v>2500000</v>
      </c>
      <c r="F49" s="12">
        <v>30</v>
      </c>
      <c r="G49" s="5">
        <f>+E49</f>
        <v>2500000</v>
      </c>
      <c r="H49" s="5"/>
      <c r="I49" s="5"/>
      <c r="J49" s="5"/>
      <c r="K49" s="5"/>
      <c r="L49" s="5">
        <f>SUM(G49:J49)+K49</f>
        <v>2500000</v>
      </c>
      <c r="M49" s="5">
        <f>+E49*4%</f>
        <v>100000</v>
      </c>
      <c r="N49" s="5">
        <f>+E49*4%</f>
        <v>100000</v>
      </c>
      <c r="O49" s="5"/>
      <c r="P49" s="5"/>
      <c r="Q49" s="5"/>
      <c r="R49" s="5"/>
      <c r="S49" s="5"/>
      <c r="T49" s="5"/>
      <c r="U49" s="5">
        <f>SUM(M49:T49)</f>
        <v>200000</v>
      </c>
      <c r="V49" s="7">
        <f>L49-U49</f>
        <v>2300000</v>
      </c>
      <c r="W49" s="8"/>
      <c r="X49" s="9"/>
      <c r="Y49" s="8">
        <f t="shared" si="31"/>
        <v>2300000</v>
      </c>
    </row>
    <row r="50" spans="1:25" ht="18" customHeight="1" x14ac:dyDescent="0.25">
      <c r="A50" s="103"/>
      <c r="B50" s="14">
        <v>4</v>
      </c>
      <c r="C50" s="11" t="s">
        <v>77</v>
      </c>
      <c r="D50" s="6" t="s">
        <v>27</v>
      </c>
      <c r="E50" s="5">
        <v>3000000</v>
      </c>
      <c r="F50" s="12">
        <v>30</v>
      </c>
      <c r="G50" s="5">
        <f t="shared" si="50"/>
        <v>3000000</v>
      </c>
      <c r="H50" s="5">
        <v>0</v>
      </c>
      <c r="I50" s="5"/>
      <c r="J50" s="5"/>
      <c r="K50" s="5"/>
      <c r="L50" s="5">
        <f>SUM(G50:J50)+K50</f>
        <v>3000000</v>
      </c>
      <c r="M50" s="5">
        <f>+E50*4%</f>
        <v>120000</v>
      </c>
      <c r="N50" s="5">
        <f>+E50*5%</f>
        <v>150000</v>
      </c>
      <c r="O50" s="5"/>
      <c r="P50" s="5"/>
      <c r="Q50" s="17"/>
      <c r="R50" s="5"/>
      <c r="S50" s="5"/>
      <c r="T50" s="84"/>
      <c r="U50" s="5">
        <f>+M50+N50+T50</f>
        <v>270000</v>
      </c>
      <c r="V50" s="7">
        <f>+L50-U50</f>
        <v>2730000</v>
      </c>
      <c r="W50" s="8"/>
      <c r="X50" s="9"/>
      <c r="Y50" s="8">
        <f t="shared" si="31"/>
        <v>2730000</v>
      </c>
    </row>
    <row r="51" spans="1:25" ht="24" x14ac:dyDescent="0.25">
      <c r="A51" s="103"/>
      <c r="B51" s="14">
        <v>5</v>
      </c>
      <c r="C51" s="11" t="s">
        <v>81</v>
      </c>
      <c r="D51" s="6" t="s">
        <v>27</v>
      </c>
      <c r="E51" s="5">
        <v>1500000</v>
      </c>
      <c r="F51" s="12">
        <v>30</v>
      </c>
      <c r="G51" s="5">
        <f>+E51-K51</f>
        <v>1450000</v>
      </c>
      <c r="H51" s="5"/>
      <c r="I51" s="5"/>
      <c r="J51" s="5"/>
      <c r="K51" s="5">
        <f>+E51/30</f>
        <v>50000</v>
      </c>
      <c r="L51" s="5">
        <f t="shared" ref="L51" si="52">SUM(G51:J51)+K51</f>
        <v>1500000</v>
      </c>
      <c r="M51" s="5">
        <f>+E51*4%</f>
        <v>60000</v>
      </c>
      <c r="N51" s="5">
        <f>+E51*4%</f>
        <v>60000</v>
      </c>
      <c r="O51" s="5"/>
      <c r="P51" s="5"/>
      <c r="Q51" s="17"/>
      <c r="R51" s="5"/>
      <c r="S51" s="5"/>
      <c r="T51" s="5"/>
      <c r="U51" s="5">
        <f t="shared" ref="U51" si="53">SUM(M51:T51)</f>
        <v>120000</v>
      </c>
      <c r="V51" s="7">
        <f t="shared" ref="V51:V59" si="54">+L51-U51</f>
        <v>1380000</v>
      </c>
      <c r="W51" s="8"/>
      <c r="X51" s="9"/>
      <c r="Y51" s="8">
        <f t="shared" si="31"/>
        <v>1380000</v>
      </c>
    </row>
    <row r="52" spans="1:25" ht="21.75" customHeight="1" x14ac:dyDescent="0.25">
      <c r="A52" s="103"/>
      <c r="B52" s="14">
        <v>6</v>
      </c>
      <c r="C52" s="11" t="s">
        <v>82</v>
      </c>
      <c r="D52" s="6" t="s">
        <v>27</v>
      </c>
      <c r="E52" s="5">
        <v>1800000</v>
      </c>
      <c r="F52" s="12">
        <v>30</v>
      </c>
      <c r="G52" s="5">
        <f t="shared" si="50"/>
        <v>1800000</v>
      </c>
      <c r="H52" s="5">
        <v>0</v>
      </c>
      <c r="I52" s="5"/>
      <c r="J52" s="5"/>
      <c r="K52" s="5"/>
      <c r="L52" s="5">
        <f t="shared" si="37"/>
        <v>1800000</v>
      </c>
      <c r="M52" s="5">
        <f>+G52*4%</f>
        <v>72000</v>
      </c>
      <c r="N52" s="5">
        <f>+G52*4%</f>
        <v>72000</v>
      </c>
      <c r="O52" s="5"/>
      <c r="P52" s="5"/>
      <c r="Q52" s="5">
        <v>0</v>
      </c>
      <c r="R52" s="5"/>
      <c r="S52" s="5"/>
      <c r="T52" s="5"/>
      <c r="U52" s="5">
        <f t="shared" ref="U52:U107" si="55">SUM(M52:T52)</f>
        <v>144000</v>
      </c>
      <c r="V52" s="7">
        <f t="shared" si="54"/>
        <v>1656000</v>
      </c>
      <c r="W52" s="8"/>
      <c r="X52" s="9"/>
      <c r="Y52" s="8">
        <f t="shared" si="31"/>
        <v>1656000</v>
      </c>
    </row>
    <row r="53" spans="1:25" ht="21.75" customHeight="1" x14ac:dyDescent="0.25">
      <c r="A53" s="103"/>
      <c r="B53" s="14">
        <v>7</v>
      </c>
      <c r="C53" s="11" t="s">
        <v>83</v>
      </c>
      <c r="D53" s="6" t="s">
        <v>27</v>
      </c>
      <c r="E53" s="5">
        <v>737717</v>
      </c>
      <c r="F53" s="12">
        <v>30</v>
      </c>
      <c r="G53" s="5">
        <f t="shared" si="50"/>
        <v>737717</v>
      </c>
      <c r="H53" s="5">
        <v>83140</v>
      </c>
      <c r="I53" s="5"/>
      <c r="J53" s="5"/>
      <c r="K53" s="5"/>
      <c r="L53" s="5">
        <f t="shared" ref="L53" si="56">SUM(G53:J53)+K53</f>
        <v>820857</v>
      </c>
      <c r="M53" s="5">
        <v>29509</v>
      </c>
      <c r="N53" s="5">
        <v>29509</v>
      </c>
      <c r="O53" s="5"/>
      <c r="P53" s="5"/>
      <c r="Q53" s="17"/>
      <c r="R53" s="5"/>
      <c r="S53" s="5"/>
      <c r="T53" s="5"/>
      <c r="U53" s="5">
        <f t="shared" si="55"/>
        <v>59018</v>
      </c>
      <c r="V53" s="7">
        <f t="shared" si="54"/>
        <v>761839</v>
      </c>
      <c r="W53" s="8"/>
      <c r="X53" s="9"/>
      <c r="Y53" s="8">
        <f t="shared" si="31"/>
        <v>761839</v>
      </c>
    </row>
    <row r="54" spans="1:25" ht="21" customHeight="1" x14ac:dyDescent="0.25">
      <c r="A54" s="103"/>
      <c r="B54" s="14">
        <v>8</v>
      </c>
      <c r="C54" s="11" t="s">
        <v>183</v>
      </c>
      <c r="D54" s="6"/>
      <c r="E54" s="5">
        <v>3000000</v>
      </c>
      <c r="F54" s="12">
        <v>30</v>
      </c>
      <c r="G54" s="5">
        <f>+E54/30*F54</f>
        <v>3000000</v>
      </c>
      <c r="H54" s="5"/>
      <c r="I54" s="5"/>
      <c r="J54" s="5"/>
      <c r="K54" s="5"/>
      <c r="L54" s="5">
        <f>SUM(G54:J54)+K54</f>
        <v>3000000</v>
      </c>
      <c r="M54" s="5">
        <f>+G54*4%</f>
        <v>120000</v>
      </c>
      <c r="N54" s="5">
        <f>+G54*4%</f>
        <v>120000</v>
      </c>
      <c r="O54" s="5"/>
      <c r="P54" s="5"/>
      <c r="Q54" s="5"/>
      <c r="R54" s="5"/>
      <c r="S54" s="5"/>
      <c r="T54" s="5"/>
      <c r="U54" s="5">
        <f>SUM(M54:T54)</f>
        <v>240000</v>
      </c>
      <c r="V54" s="7">
        <f>+L54-U54</f>
        <v>2760000</v>
      </c>
      <c r="W54" s="8"/>
      <c r="X54" s="9"/>
      <c r="Y54" s="8">
        <f t="shared" si="31"/>
        <v>2760000</v>
      </c>
    </row>
    <row r="55" spans="1:25" ht="17.25" customHeight="1" x14ac:dyDescent="0.25">
      <c r="A55" s="103"/>
      <c r="B55" s="14">
        <v>9</v>
      </c>
      <c r="C55" s="11" t="s">
        <v>84</v>
      </c>
      <c r="D55" s="6" t="s">
        <v>27</v>
      </c>
      <c r="E55" s="5">
        <v>3500000</v>
      </c>
      <c r="F55" s="12">
        <v>30</v>
      </c>
      <c r="G55" s="5">
        <f>+E55-K55</f>
        <v>3500000</v>
      </c>
      <c r="H55" s="5"/>
      <c r="I55" s="5"/>
      <c r="J55" s="5"/>
      <c r="K55" s="5"/>
      <c r="L55" s="5">
        <f t="shared" ref="L55" si="57">SUM(G55:J55)+K55</f>
        <v>3500000</v>
      </c>
      <c r="M55" s="5">
        <f>+E55*4%</f>
        <v>140000</v>
      </c>
      <c r="N55" s="5">
        <f>+E55*5%</f>
        <v>175000</v>
      </c>
      <c r="O55" s="5"/>
      <c r="P55" s="5"/>
      <c r="Q55" s="5">
        <v>0</v>
      </c>
      <c r="R55" s="5"/>
      <c r="S55" s="5"/>
      <c r="T55" s="5">
        <v>774624</v>
      </c>
      <c r="U55" s="5">
        <f t="shared" ref="U55" si="58">SUM(M55:T55)</f>
        <v>1089624</v>
      </c>
      <c r="V55" s="7">
        <f t="shared" si="54"/>
        <v>2410376</v>
      </c>
      <c r="W55" s="8"/>
      <c r="X55" s="9"/>
      <c r="Y55" s="8">
        <f t="shared" si="31"/>
        <v>2410376</v>
      </c>
    </row>
    <row r="56" spans="1:25" ht="17.25" customHeight="1" x14ac:dyDescent="0.25">
      <c r="A56" s="103"/>
      <c r="B56" s="14">
        <v>10</v>
      </c>
      <c r="C56" s="11" t="s">
        <v>85</v>
      </c>
      <c r="D56" s="6" t="s">
        <v>27</v>
      </c>
      <c r="E56" s="5">
        <v>2500000</v>
      </c>
      <c r="F56" s="12">
        <v>30</v>
      </c>
      <c r="G56" s="5">
        <f t="shared" si="50"/>
        <v>2500000</v>
      </c>
      <c r="H56" s="5"/>
      <c r="I56" s="5"/>
      <c r="J56" s="5">
        <v>700000</v>
      </c>
      <c r="K56" s="5"/>
      <c r="L56" s="5">
        <f>SUM(G56:J56)+K56</f>
        <v>3200000</v>
      </c>
      <c r="M56" s="5">
        <f>+G56*4%</f>
        <v>100000</v>
      </c>
      <c r="N56" s="5">
        <f>+G56*4%</f>
        <v>100000</v>
      </c>
      <c r="O56" s="5"/>
      <c r="P56" s="5"/>
      <c r="Q56" s="5">
        <v>0</v>
      </c>
      <c r="R56" s="5"/>
      <c r="S56" s="5"/>
      <c r="T56" s="5">
        <v>200210</v>
      </c>
      <c r="U56" s="5">
        <f t="shared" si="55"/>
        <v>400210</v>
      </c>
      <c r="V56" s="7">
        <f t="shared" si="54"/>
        <v>2799790</v>
      </c>
      <c r="W56" s="8"/>
      <c r="X56" s="9"/>
      <c r="Y56" s="8">
        <f t="shared" si="31"/>
        <v>2799790</v>
      </c>
    </row>
    <row r="57" spans="1:25" ht="17.25" customHeight="1" x14ac:dyDescent="0.25">
      <c r="A57" s="103"/>
      <c r="B57" s="14">
        <v>11</v>
      </c>
      <c r="C57" s="11" t="s">
        <v>87</v>
      </c>
      <c r="D57" s="6" t="s">
        <v>27</v>
      </c>
      <c r="E57" s="5">
        <v>1500000</v>
      </c>
      <c r="F57" s="12">
        <v>30</v>
      </c>
      <c r="G57" s="5">
        <f>E57/30*F57</f>
        <v>1500000</v>
      </c>
      <c r="H57" s="5"/>
      <c r="I57" s="5"/>
      <c r="J57" s="5"/>
      <c r="K57" s="5"/>
      <c r="L57" s="5">
        <f t="shared" ref="L57" si="59">SUM(G57:J57)+K57</f>
        <v>1500000</v>
      </c>
      <c r="M57" s="5">
        <f>+G57*4%</f>
        <v>60000</v>
      </c>
      <c r="N57" s="5">
        <f t="shared" ref="N57" si="60">+G57*4%</f>
        <v>60000</v>
      </c>
      <c r="O57" s="5">
        <v>0</v>
      </c>
      <c r="P57" s="5"/>
      <c r="Q57" s="5">
        <v>0</v>
      </c>
      <c r="R57" s="5"/>
      <c r="S57" s="5"/>
      <c r="T57" s="5">
        <v>422966</v>
      </c>
      <c r="U57" s="5">
        <f t="shared" ref="U57" si="61">SUM(M57:T57)</f>
        <v>542966</v>
      </c>
      <c r="V57" s="7">
        <f t="shared" si="54"/>
        <v>957034</v>
      </c>
      <c r="W57" s="8"/>
      <c r="X57" s="9"/>
      <c r="Y57" s="8">
        <f t="shared" si="31"/>
        <v>957034</v>
      </c>
    </row>
    <row r="58" spans="1:25" ht="17.25" customHeight="1" x14ac:dyDescent="0.25">
      <c r="A58" s="103"/>
      <c r="B58" s="14">
        <v>12</v>
      </c>
      <c r="C58" s="11" t="s">
        <v>175</v>
      </c>
      <c r="D58" s="6" t="s">
        <v>27</v>
      </c>
      <c r="E58" s="5">
        <v>737717</v>
      </c>
      <c r="F58" s="12">
        <v>30</v>
      </c>
      <c r="G58" s="5">
        <f>+E58-I58</f>
        <v>688535.8666666667</v>
      </c>
      <c r="H58" s="5">
        <f>+(83140/30)*F58</f>
        <v>83140</v>
      </c>
      <c r="I58" s="5">
        <f>+E58/30*2</f>
        <v>49181.133333333331</v>
      </c>
      <c r="J58" s="5"/>
      <c r="K58" s="5"/>
      <c r="L58" s="5">
        <f t="shared" ref="L58" si="62">SUM(G58:J58)+K58</f>
        <v>820857</v>
      </c>
      <c r="M58" s="5">
        <f>+E58*4%</f>
        <v>29508.68</v>
      </c>
      <c r="N58" s="5">
        <f>+E58*4%</f>
        <v>29508.68</v>
      </c>
      <c r="O58" s="5"/>
      <c r="P58" s="5"/>
      <c r="Q58" s="5">
        <v>0</v>
      </c>
      <c r="R58" s="5"/>
      <c r="S58" s="5"/>
      <c r="T58" s="5"/>
      <c r="U58" s="5">
        <v>59018</v>
      </c>
      <c r="V58" s="7">
        <f t="shared" si="54"/>
        <v>761839</v>
      </c>
      <c r="W58" s="8"/>
      <c r="X58" s="9"/>
      <c r="Y58" s="8">
        <f t="shared" si="31"/>
        <v>761839</v>
      </c>
    </row>
    <row r="59" spans="1:25" ht="24" x14ac:dyDescent="0.25">
      <c r="A59" s="103"/>
      <c r="B59" s="14">
        <v>13</v>
      </c>
      <c r="C59" s="11" t="s">
        <v>88</v>
      </c>
      <c r="D59" s="6" t="s">
        <v>27</v>
      </c>
      <c r="E59" s="5">
        <v>3000000</v>
      </c>
      <c r="F59" s="12">
        <v>30</v>
      </c>
      <c r="G59" s="5">
        <f>E59/30*F59</f>
        <v>3000000</v>
      </c>
      <c r="H59" s="5"/>
      <c r="I59" s="5"/>
      <c r="J59" s="5">
        <v>200000</v>
      </c>
      <c r="K59" s="5"/>
      <c r="L59" s="5">
        <f t="shared" si="37"/>
        <v>3200000</v>
      </c>
      <c r="M59" s="5">
        <f>+G59*4%</f>
        <v>120000</v>
      </c>
      <c r="N59" s="5">
        <f>+G59*0.05</f>
        <v>150000</v>
      </c>
      <c r="O59" s="5"/>
      <c r="P59" s="5"/>
      <c r="Q59" s="5">
        <v>0</v>
      </c>
      <c r="R59" s="5"/>
      <c r="S59" s="5"/>
      <c r="T59" s="5">
        <v>323803</v>
      </c>
      <c r="U59" s="5">
        <f t="shared" si="55"/>
        <v>593803</v>
      </c>
      <c r="V59" s="7">
        <f t="shared" si="54"/>
        <v>2606197</v>
      </c>
      <c r="W59" s="8"/>
      <c r="X59" s="9"/>
      <c r="Y59" s="8">
        <f t="shared" si="31"/>
        <v>2606197</v>
      </c>
    </row>
    <row r="60" spans="1:25" ht="18.75" customHeight="1" x14ac:dyDescent="0.25">
      <c r="A60" s="103"/>
      <c r="B60" s="14">
        <v>14</v>
      </c>
      <c r="C60" s="11" t="s">
        <v>189</v>
      </c>
      <c r="D60" s="6"/>
      <c r="E60" s="5">
        <v>2000000</v>
      </c>
      <c r="F60" s="12">
        <v>30</v>
      </c>
      <c r="G60" s="5">
        <f>+E60</f>
        <v>2000000</v>
      </c>
      <c r="H60" s="5"/>
      <c r="I60" s="5"/>
      <c r="J60" s="5"/>
      <c r="K60" s="5"/>
      <c r="L60" s="5">
        <f t="shared" si="37"/>
        <v>2000000</v>
      </c>
      <c r="M60" s="5">
        <f>+G60*4%</f>
        <v>80000</v>
      </c>
      <c r="N60" s="5">
        <f>+G60*4%</f>
        <v>80000</v>
      </c>
      <c r="O60" s="5"/>
      <c r="P60" s="5"/>
      <c r="Q60" s="5">
        <v>0</v>
      </c>
      <c r="R60" s="5"/>
      <c r="S60" s="5"/>
      <c r="T60" s="5"/>
      <c r="U60" s="5">
        <f>SUM(M60:T60)</f>
        <v>160000</v>
      </c>
      <c r="V60" s="7">
        <f>+L60-U60</f>
        <v>1840000</v>
      </c>
      <c r="W60" s="8"/>
      <c r="X60" s="9"/>
      <c r="Y60" s="8">
        <f t="shared" si="31"/>
        <v>1840000</v>
      </c>
    </row>
    <row r="61" spans="1:25" x14ac:dyDescent="0.25">
      <c r="A61" s="103"/>
      <c r="B61" s="14">
        <v>15</v>
      </c>
      <c r="C61" s="3" t="s">
        <v>89</v>
      </c>
      <c r="D61" s="4" t="s">
        <v>27</v>
      </c>
      <c r="E61" s="5">
        <v>3500000</v>
      </c>
      <c r="F61" s="12">
        <v>30</v>
      </c>
      <c r="G61" s="5">
        <f>E61/30*F61</f>
        <v>3500000</v>
      </c>
      <c r="H61" s="5"/>
      <c r="I61" s="5"/>
      <c r="J61" s="5"/>
      <c r="K61" s="5"/>
      <c r="L61" s="5">
        <f t="shared" si="37"/>
        <v>3500000</v>
      </c>
      <c r="M61" s="5">
        <f>+L61*4%</f>
        <v>140000</v>
      </c>
      <c r="N61" s="5">
        <f>+L61*5%</f>
        <v>175000</v>
      </c>
      <c r="O61" s="5"/>
      <c r="P61" s="5"/>
      <c r="Q61" s="5">
        <v>0</v>
      </c>
      <c r="R61" s="5"/>
      <c r="S61" s="5"/>
      <c r="T61" s="5"/>
      <c r="U61" s="5">
        <f t="shared" si="55"/>
        <v>315000</v>
      </c>
      <c r="V61" s="7">
        <f t="shared" ref="V61:V71" si="63">L61-U61</f>
        <v>3185000</v>
      </c>
      <c r="W61" s="8"/>
      <c r="X61" s="9"/>
      <c r="Y61" s="8">
        <f t="shared" si="31"/>
        <v>3185000</v>
      </c>
    </row>
    <row r="62" spans="1:25" x14ac:dyDescent="0.25">
      <c r="A62" s="103"/>
      <c r="B62" s="14">
        <v>16</v>
      </c>
      <c r="C62" s="11" t="s">
        <v>90</v>
      </c>
      <c r="D62" s="6" t="s">
        <v>27</v>
      </c>
      <c r="E62" s="5">
        <v>4000000</v>
      </c>
      <c r="F62" s="12">
        <v>30</v>
      </c>
      <c r="G62" s="5">
        <f t="shared" ref="G62:G108" si="64">E62/30*F62</f>
        <v>4000000.0000000005</v>
      </c>
      <c r="H62" s="5"/>
      <c r="I62" s="5"/>
      <c r="J62" s="5">
        <v>300000</v>
      </c>
      <c r="K62" s="5"/>
      <c r="L62" s="5">
        <f>SUM(G62:J62)+K62</f>
        <v>4300000</v>
      </c>
      <c r="M62" s="5">
        <v>160000</v>
      </c>
      <c r="N62" s="5">
        <v>200000</v>
      </c>
      <c r="O62" s="5"/>
      <c r="P62" s="5"/>
      <c r="Q62" s="5">
        <v>3000</v>
      </c>
      <c r="R62" s="5"/>
      <c r="S62" s="5"/>
      <c r="T62" s="5">
        <v>879143</v>
      </c>
      <c r="U62" s="5">
        <f t="shared" si="55"/>
        <v>1242143</v>
      </c>
      <c r="V62" s="7">
        <f t="shared" si="63"/>
        <v>3057857</v>
      </c>
      <c r="W62" s="8"/>
      <c r="X62" s="9"/>
      <c r="Y62" s="8">
        <f t="shared" si="31"/>
        <v>3057857</v>
      </c>
    </row>
    <row r="63" spans="1:25" x14ac:dyDescent="0.25">
      <c r="A63" s="103"/>
      <c r="B63" s="14">
        <v>17</v>
      </c>
      <c r="C63" s="11" t="s">
        <v>91</v>
      </c>
      <c r="D63" s="6" t="s">
        <v>27</v>
      </c>
      <c r="E63" s="5">
        <v>800000</v>
      </c>
      <c r="F63" s="12">
        <v>30</v>
      </c>
      <c r="G63" s="5">
        <f t="shared" si="64"/>
        <v>800000</v>
      </c>
      <c r="H63" s="5">
        <f>+(83140/30)*F63</f>
        <v>83140</v>
      </c>
      <c r="I63" s="5"/>
      <c r="J63" s="5"/>
      <c r="K63" s="5"/>
      <c r="L63" s="5">
        <f t="shared" si="37"/>
        <v>883140</v>
      </c>
      <c r="M63" s="5">
        <f>+G63*4%</f>
        <v>32000</v>
      </c>
      <c r="N63" s="5">
        <f>+G63*4%</f>
        <v>32000</v>
      </c>
      <c r="O63" s="5"/>
      <c r="P63" s="5"/>
      <c r="Q63" s="5"/>
      <c r="R63" s="5"/>
      <c r="S63" s="5"/>
      <c r="T63" s="5"/>
      <c r="U63" s="5">
        <f t="shared" si="55"/>
        <v>64000</v>
      </c>
      <c r="V63" s="7">
        <f t="shared" si="63"/>
        <v>819140</v>
      </c>
      <c r="W63" s="8"/>
      <c r="X63" s="9"/>
      <c r="Y63" s="8">
        <f t="shared" si="31"/>
        <v>819140</v>
      </c>
    </row>
    <row r="64" spans="1:25" ht="17.25" customHeight="1" x14ac:dyDescent="0.25">
      <c r="A64" s="103"/>
      <c r="B64" s="14">
        <v>18</v>
      </c>
      <c r="C64" s="11" t="s">
        <v>92</v>
      </c>
      <c r="D64" s="6" t="s">
        <v>27</v>
      </c>
      <c r="E64" s="5">
        <v>4200000</v>
      </c>
      <c r="F64" s="12">
        <v>30</v>
      </c>
      <c r="G64" s="5">
        <f t="shared" si="64"/>
        <v>4200000</v>
      </c>
      <c r="H64" s="5">
        <v>0</v>
      </c>
      <c r="I64" s="5"/>
      <c r="J64" s="5"/>
      <c r="K64" s="5"/>
      <c r="L64" s="5">
        <f t="shared" si="37"/>
        <v>4200000</v>
      </c>
      <c r="M64" s="5">
        <f>+E64*0.04</f>
        <v>168000</v>
      </c>
      <c r="N64" s="5">
        <f>+E64*0.05</f>
        <v>210000</v>
      </c>
      <c r="O64" s="5"/>
      <c r="P64" s="5"/>
      <c r="Q64" s="5">
        <v>0</v>
      </c>
      <c r="R64" s="5"/>
      <c r="S64" s="5"/>
      <c r="T64" s="5"/>
      <c r="U64" s="5">
        <f>SUM(M64:T64)</f>
        <v>378000</v>
      </c>
      <c r="V64" s="7">
        <f>L64-U64</f>
        <v>3822000</v>
      </c>
      <c r="W64" s="8"/>
      <c r="X64" s="9"/>
      <c r="Y64" s="8">
        <f t="shared" si="31"/>
        <v>3822000</v>
      </c>
    </row>
    <row r="65" spans="1:28" ht="17.25" customHeight="1" x14ac:dyDescent="0.25">
      <c r="A65" s="103"/>
      <c r="B65" s="14">
        <v>19</v>
      </c>
      <c r="C65" s="11" t="s">
        <v>93</v>
      </c>
      <c r="D65" s="6" t="s">
        <v>27</v>
      </c>
      <c r="E65" s="5">
        <v>1550000</v>
      </c>
      <c r="F65" s="12">
        <v>30</v>
      </c>
      <c r="G65" s="5">
        <f t="shared" si="64"/>
        <v>1550000</v>
      </c>
      <c r="H65" s="5"/>
      <c r="I65" s="5"/>
      <c r="J65" s="5"/>
      <c r="K65" s="5"/>
      <c r="L65" s="5">
        <f t="shared" ref="L65:L67" si="65">SUM(G65:J65)+K65</f>
        <v>1550000</v>
      </c>
      <c r="M65" s="5">
        <f>+E65*4%</f>
        <v>62000</v>
      </c>
      <c r="N65" s="5">
        <f>+E65*4%</f>
        <v>62000</v>
      </c>
      <c r="O65" s="5"/>
      <c r="P65" s="5"/>
      <c r="Q65" s="5"/>
      <c r="R65" s="5"/>
      <c r="S65" s="5"/>
      <c r="T65" s="5"/>
      <c r="U65" s="5">
        <f t="shared" ref="U65:U67" si="66">SUM(M65:T65)</f>
        <v>124000</v>
      </c>
      <c r="V65" s="7">
        <f t="shared" si="63"/>
        <v>1426000</v>
      </c>
      <c r="W65" s="8"/>
      <c r="X65" s="9"/>
      <c r="Y65" s="8">
        <f t="shared" si="31"/>
        <v>1426000</v>
      </c>
    </row>
    <row r="66" spans="1:28" ht="17.25" customHeight="1" x14ac:dyDescent="0.25">
      <c r="A66" s="103"/>
      <c r="B66" s="14">
        <v>20</v>
      </c>
      <c r="C66" s="11" t="s">
        <v>94</v>
      </c>
      <c r="D66" s="6"/>
      <c r="E66" s="5">
        <v>1200000</v>
      </c>
      <c r="F66" s="12">
        <v>30</v>
      </c>
      <c r="G66" s="5">
        <f t="shared" si="64"/>
        <v>1200000</v>
      </c>
      <c r="H66" s="5">
        <f>+(83140/30)*F66</f>
        <v>83140</v>
      </c>
      <c r="I66" s="5"/>
      <c r="J66" s="5"/>
      <c r="K66" s="5"/>
      <c r="L66" s="5">
        <f t="shared" ref="L66" si="67">SUM(G66:J66)+K66</f>
        <v>1283140</v>
      </c>
      <c r="M66" s="5">
        <f>+G66*4%</f>
        <v>48000</v>
      </c>
      <c r="N66" s="5">
        <f>+G66*4%</f>
        <v>48000</v>
      </c>
      <c r="O66" s="5"/>
      <c r="P66" s="5"/>
      <c r="Q66" s="5"/>
      <c r="R66" s="5"/>
      <c r="S66" s="5"/>
      <c r="T66" s="5"/>
      <c r="U66" s="5">
        <f t="shared" ref="U66" si="68">SUM(M66:T66)</f>
        <v>96000</v>
      </c>
      <c r="V66" s="7">
        <f t="shared" si="63"/>
        <v>1187140</v>
      </c>
      <c r="W66" s="8"/>
      <c r="X66" s="9"/>
      <c r="Y66" s="8">
        <f t="shared" si="31"/>
        <v>1187140</v>
      </c>
    </row>
    <row r="67" spans="1:28" ht="20.25" customHeight="1" x14ac:dyDescent="0.25">
      <c r="A67" s="103"/>
      <c r="B67" s="14">
        <v>21</v>
      </c>
      <c r="C67" s="11" t="s">
        <v>166</v>
      </c>
      <c r="D67" s="6" t="s">
        <v>27</v>
      </c>
      <c r="E67" s="5">
        <v>1500000</v>
      </c>
      <c r="F67" s="12">
        <v>30</v>
      </c>
      <c r="G67" s="5">
        <v>1500000</v>
      </c>
      <c r="H67" s="5"/>
      <c r="I67" s="5"/>
      <c r="J67" s="5">
        <v>73600</v>
      </c>
      <c r="K67" s="5"/>
      <c r="L67" s="5">
        <f t="shared" si="65"/>
        <v>1573600</v>
      </c>
      <c r="M67" s="5">
        <f>+E67*4%</f>
        <v>60000</v>
      </c>
      <c r="N67" s="5">
        <f>+E67*4%</f>
        <v>60000</v>
      </c>
      <c r="O67" s="5"/>
      <c r="P67" s="5"/>
      <c r="Q67" s="5"/>
      <c r="R67" s="5"/>
      <c r="S67" s="5"/>
      <c r="T67" s="5"/>
      <c r="U67" s="5">
        <f t="shared" si="66"/>
        <v>120000</v>
      </c>
      <c r="V67" s="7">
        <f>L67-U67</f>
        <v>1453600</v>
      </c>
      <c r="W67" s="8"/>
      <c r="X67" s="9"/>
      <c r="Y67" s="8">
        <f t="shared" si="31"/>
        <v>1453600</v>
      </c>
    </row>
    <row r="68" spans="1:28" ht="29.25" customHeight="1" x14ac:dyDescent="0.25">
      <c r="A68" s="103"/>
      <c r="B68" s="14">
        <v>22</v>
      </c>
      <c r="C68" s="11" t="s">
        <v>167</v>
      </c>
      <c r="D68" s="6" t="s">
        <v>27</v>
      </c>
      <c r="E68" s="5">
        <v>2500000</v>
      </c>
      <c r="F68" s="12">
        <v>30</v>
      </c>
      <c r="G68" s="5">
        <f>+E68-K68</f>
        <v>2500000</v>
      </c>
      <c r="H68" s="5"/>
      <c r="I68" s="5"/>
      <c r="J68" s="5"/>
      <c r="K68" s="5"/>
      <c r="L68" s="5">
        <f t="shared" si="37"/>
        <v>2500000</v>
      </c>
      <c r="M68" s="5">
        <f>+G68*4%</f>
        <v>100000</v>
      </c>
      <c r="N68" s="5">
        <f>+G68*4%</f>
        <v>100000</v>
      </c>
      <c r="O68" s="5"/>
      <c r="P68" s="5"/>
      <c r="Q68" s="5">
        <v>0</v>
      </c>
      <c r="R68" s="5"/>
      <c r="S68" s="5"/>
      <c r="T68" s="5">
        <v>363928</v>
      </c>
      <c r="U68" s="5">
        <f>SUM(M68:T68)</f>
        <v>563928</v>
      </c>
      <c r="V68" s="7">
        <f>L68-U68</f>
        <v>1936072</v>
      </c>
      <c r="W68" s="8"/>
      <c r="X68" s="9"/>
      <c r="Y68" s="8">
        <f t="shared" si="31"/>
        <v>1936072</v>
      </c>
      <c r="AB68" s="10">
        <f>1196000+644000</f>
        <v>1840000</v>
      </c>
    </row>
    <row r="69" spans="1:28" ht="25.5" customHeight="1" x14ac:dyDescent="0.25">
      <c r="A69" s="103"/>
      <c r="B69" s="14">
        <v>23</v>
      </c>
      <c r="C69" s="11" t="s">
        <v>156</v>
      </c>
      <c r="D69" s="6"/>
      <c r="E69" s="5">
        <v>368858</v>
      </c>
      <c r="F69" s="12">
        <v>30</v>
      </c>
      <c r="G69" s="5">
        <f t="shared" si="64"/>
        <v>368858</v>
      </c>
      <c r="H69" s="5"/>
      <c r="I69" s="5"/>
      <c r="J69" s="5"/>
      <c r="K69" s="5"/>
      <c r="L69" s="5">
        <f t="shared" ref="L69" si="69">SUM(G69:J69)+K69</f>
        <v>368858</v>
      </c>
      <c r="M69" s="5"/>
      <c r="N69" s="5"/>
      <c r="O69" s="5"/>
      <c r="P69" s="5"/>
      <c r="Q69" s="5"/>
      <c r="R69" s="5"/>
      <c r="S69" s="5"/>
      <c r="T69" s="5"/>
      <c r="U69" s="5">
        <f t="shared" ref="U69" si="70">SUM(M69:T69)</f>
        <v>0</v>
      </c>
      <c r="V69" s="7">
        <f t="shared" ref="V69" si="71">L69-U69</f>
        <v>368858</v>
      </c>
      <c r="W69" s="8"/>
      <c r="X69" s="9"/>
      <c r="Y69" s="8">
        <f t="shared" si="31"/>
        <v>368858</v>
      </c>
    </row>
    <row r="70" spans="1:28" x14ac:dyDescent="0.25">
      <c r="A70" s="103"/>
      <c r="B70" s="14">
        <v>24</v>
      </c>
      <c r="C70" s="3" t="s">
        <v>101</v>
      </c>
      <c r="D70" s="4" t="s">
        <v>27</v>
      </c>
      <c r="E70" s="5">
        <v>800000</v>
      </c>
      <c r="F70" s="12">
        <v>30</v>
      </c>
      <c r="G70" s="5">
        <f t="shared" si="64"/>
        <v>800000</v>
      </c>
      <c r="H70" s="5">
        <f>+(83140/30)*F70</f>
        <v>83140</v>
      </c>
      <c r="I70" s="5"/>
      <c r="J70" s="5"/>
      <c r="K70" s="5"/>
      <c r="L70" s="5">
        <f t="shared" si="37"/>
        <v>883140</v>
      </c>
      <c r="M70" s="5">
        <f>+G70*4%</f>
        <v>32000</v>
      </c>
      <c r="N70" s="5">
        <f>+G70*4%</f>
        <v>32000</v>
      </c>
      <c r="O70" s="5"/>
      <c r="P70" s="5"/>
      <c r="Q70" s="5"/>
      <c r="R70" s="5"/>
      <c r="S70" s="5"/>
      <c r="T70" s="5"/>
      <c r="U70" s="5">
        <f t="shared" si="55"/>
        <v>64000</v>
      </c>
      <c r="V70" s="7">
        <f t="shared" si="63"/>
        <v>819140</v>
      </c>
      <c r="W70" s="8"/>
      <c r="X70" s="9"/>
      <c r="Y70" s="8">
        <f t="shared" si="31"/>
        <v>819140</v>
      </c>
      <c r="AB70" s="10">
        <f>1840000-1196000</f>
        <v>644000</v>
      </c>
    </row>
    <row r="71" spans="1:28" x14ac:dyDescent="0.25">
      <c r="A71" s="103"/>
      <c r="B71" s="14">
        <v>25</v>
      </c>
      <c r="C71" s="3" t="s">
        <v>176</v>
      </c>
      <c r="D71" s="4" t="s">
        <v>27</v>
      </c>
      <c r="E71" s="5">
        <v>1000000</v>
      </c>
      <c r="F71" s="12">
        <v>30</v>
      </c>
      <c r="G71" s="5">
        <f t="shared" si="64"/>
        <v>1000000.0000000001</v>
      </c>
      <c r="H71" s="5">
        <f>+(83140/30)*F71</f>
        <v>83140</v>
      </c>
      <c r="I71" s="5"/>
      <c r="J71" s="5"/>
      <c r="K71" s="5"/>
      <c r="L71" s="5">
        <f t="shared" ref="L71" si="72">SUM(G71:J71)+K71</f>
        <v>1083140</v>
      </c>
      <c r="M71" s="5">
        <f>+G71*4%</f>
        <v>40000.000000000007</v>
      </c>
      <c r="N71" s="5">
        <f>+G71*4%</f>
        <v>40000.000000000007</v>
      </c>
      <c r="O71" s="5"/>
      <c r="P71" s="5"/>
      <c r="Q71" s="5"/>
      <c r="R71" s="5"/>
      <c r="S71" s="5"/>
      <c r="T71" s="5"/>
      <c r="U71" s="5">
        <f t="shared" ref="U71" si="73">SUM(M71:T71)</f>
        <v>80000.000000000015</v>
      </c>
      <c r="V71" s="7">
        <f t="shared" si="63"/>
        <v>1003140</v>
      </c>
      <c r="W71" s="8"/>
      <c r="X71" s="9"/>
      <c r="Y71" s="8">
        <f t="shared" si="31"/>
        <v>1003140</v>
      </c>
      <c r="AB71" s="10">
        <f>1840000-1196000</f>
        <v>644000</v>
      </c>
    </row>
    <row r="72" spans="1:28" ht="21" customHeight="1" x14ac:dyDescent="0.25">
      <c r="A72" s="103"/>
      <c r="B72" s="14">
        <v>26</v>
      </c>
      <c r="C72" s="11" t="s">
        <v>184</v>
      </c>
      <c r="D72" s="6"/>
      <c r="E72" s="5">
        <v>3500000</v>
      </c>
      <c r="F72" s="12">
        <v>30</v>
      </c>
      <c r="G72" s="5">
        <f>+E72/30*F72</f>
        <v>3500000</v>
      </c>
      <c r="H72" s="5"/>
      <c r="I72" s="5"/>
      <c r="J72" s="5"/>
      <c r="K72" s="5"/>
      <c r="L72" s="5">
        <f t="shared" ref="L72" si="74">SUM(G72:J72)+K72</f>
        <v>3500000</v>
      </c>
      <c r="M72" s="5">
        <f>+G72*4%</f>
        <v>140000</v>
      </c>
      <c r="N72" s="5">
        <f>+G72*5%</f>
        <v>175000</v>
      </c>
      <c r="O72" s="5"/>
      <c r="P72" s="5"/>
      <c r="Q72" s="5"/>
      <c r="R72" s="5"/>
      <c r="S72" s="5"/>
      <c r="T72" s="5">
        <v>1104732</v>
      </c>
      <c r="U72" s="5">
        <f>SUM(M72:T72)</f>
        <v>1419732</v>
      </c>
      <c r="V72" s="7">
        <f>+L72-U72</f>
        <v>2080268</v>
      </c>
      <c r="W72" s="8"/>
      <c r="X72" s="9"/>
      <c r="Y72" s="8">
        <f t="shared" si="31"/>
        <v>2080268</v>
      </c>
    </row>
    <row r="73" spans="1:28" x14ac:dyDescent="0.25">
      <c r="A73" s="103"/>
      <c r="B73" s="14">
        <v>27</v>
      </c>
      <c r="C73" s="11" t="s">
        <v>105</v>
      </c>
      <c r="D73" s="6" t="s">
        <v>27</v>
      </c>
      <c r="E73" s="5">
        <v>4000000</v>
      </c>
      <c r="F73" s="12">
        <v>30</v>
      </c>
      <c r="G73" s="5">
        <f>+E73-I73</f>
        <v>3866666.6666666665</v>
      </c>
      <c r="H73" s="5"/>
      <c r="I73" s="5">
        <f>+E73/30</f>
        <v>133333.33333333334</v>
      </c>
      <c r="J73" s="5"/>
      <c r="K73" s="18"/>
      <c r="L73" s="5">
        <f t="shared" ref="L73" si="75">SUM(G73:J73)+K73</f>
        <v>4000000</v>
      </c>
      <c r="M73" s="5">
        <f>+E73*0.04</f>
        <v>160000</v>
      </c>
      <c r="N73" s="5">
        <f>+E73*0.05</f>
        <v>200000</v>
      </c>
      <c r="O73" s="5"/>
      <c r="P73" s="5"/>
      <c r="Q73" s="5">
        <v>3000</v>
      </c>
      <c r="R73" s="5"/>
      <c r="S73" s="5"/>
      <c r="T73" s="5"/>
      <c r="U73" s="5">
        <f t="shared" ref="U73" si="76">SUM(M73:T73)</f>
        <v>363000</v>
      </c>
      <c r="V73" s="7">
        <f>+L73-U73</f>
        <v>3637000</v>
      </c>
      <c r="W73" s="8"/>
      <c r="X73" s="9"/>
      <c r="Y73" s="8">
        <f t="shared" si="31"/>
        <v>3637000</v>
      </c>
      <c r="Z73" s="10" t="s">
        <v>106</v>
      </c>
    </row>
    <row r="74" spans="1:28" ht="21" customHeight="1" x14ac:dyDescent="0.25">
      <c r="A74" s="103"/>
      <c r="B74" s="14">
        <v>28</v>
      </c>
      <c r="C74" s="3" t="s">
        <v>178</v>
      </c>
      <c r="D74" s="4"/>
      <c r="E74" s="5">
        <v>2400000</v>
      </c>
      <c r="F74" s="12">
        <v>30</v>
      </c>
      <c r="G74" s="5">
        <f t="shared" ref="G74" si="77">E74/30*F74</f>
        <v>2400000</v>
      </c>
      <c r="H74" s="5"/>
      <c r="I74" s="5"/>
      <c r="J74" s="5"/>
      <c r="K74" s="5"/>
      <c r="L74" s="5">
        <f t="shared" ref="L74" si="78">SUM(G74:J74)+K74</f>
        <v>2400000</v>
      </c>
      <c r="M74" s="5">
        <f>+G74*4%</f>
        <v>96000</v>
      </c>
      <c r="N74" s="5">
        <f>+G74*4%</f>
        <v>96000</v>
      </c>
      <c r="O74" s="5"/>
      <c r="P74" s="5"/>
      <c r="Q74" s="5"/>
      <c r="R74" s="5"/>
      <c r="S74" s="5"/>
      <c r="T74" s="5"/>
      <c r="U74" s="5">
        <f>SUM(M74:T74)</f>
        <v>192000</v>
      </c>
      <c r="V74" s="7">
        <f t="shared" ref="V74" si="79">L74-U74</f>
        <v>2208000</v>
      </c>
      <c r="W74" s="8"/>
      <c r="X74" s="9"/>
      <c r="Y74" s="8">
        <f t="shared" si="31"/>
        <v>2208000</v>
      </c>
    </row>
    <row r="75" spans="1:28" x14ac:dyDescent="0.25">
      <c r="A75" s="103"/>
      <c r="B75" s="14">
        <v>29</v>
      </c>
      <c r="C75" s="11" t="s">
        <v>107</v>
      </c>
      <c r="D75" s="6" t="s">
        <v>27</v>
      </c>
      <c r="E75" s="5">
        <v>2200000</v>
      </c>
      <c r="F75" s="12">
        <v>30</v>
      </c>
      <c r="G75" s="5">
        <f>+E75-I75</f>
        <v>2053333.3333333333</v>
      </c>
      <c r="H75" s="5"/>
      <c r="I75" s="5">
        <f>+E75/30*2</f>
        <v>146666.66666666666</v>
      </c>
      <c r="J75" s="5"/>
      <c r="K75" s="5"/>
      <c r="L75" s="5">
        <f t="shared" ref="L75" si="80">SUM(G75:J75)+K75</f>
        <v>2200000</v>
      </c>
      <c r="M75" s="5">
        <f>+E75*4%</f>
        <v>88000</v>
      </c>
      <c r="N75" s="5">
        <f>+E75*4%</f>
        <v>88000</v>
      </c>
      <c r="O75" s="5"/>
      <c r="P75" s="5"/>
      <c r="Q75" s="5">
        <v>0</v>
      </c>
      <c r="R75" s="5"/>
      <c r="S75" s="5"/>
      <c r="T75" s="5"/>
      <c r="U75" s="5">
        <f t="shared" ref="U75" si="81">SUM(M75:T75)</f>
        <v>176000</v>
      </c>
      <c r="V75" s="7">
        <f t="shared" ref="V75:V80" si="82">+L75-U75</f>
        <v>2024000</v>
      </c>
      <c r="W75" s="8"/>
      <c r="X75" s="9"/>
      <c r="Y75" s="8">
        <f t="shared" si="31"/>
        <v>2024000</v>
      </c>
      <c r="Z75" s="10" t="s">
        <v>106</v>
      </c>
    </row>
    <row r="76" spans="1:28" x14ac:dyDescent="0.25">
      <c r="A76" s="103"/>
      <c r="B76" s="14">
        <v>30</v>
      </c>
      <c r="C76" s="11" t="s">
        <v>108</v>
      </c>
      <c r="D76" s="6" t="s">
        <v>27</v>
      </c>
      <c r="E76" s="5">
        <v>3000000</v>
      </c>
      <c r="F76" s="12">
        <v>30</v>
      </c>
      <c r="G76" s="5">
        <f t="shared" si="64"/>
        <v>3000000</v>
      </c>
      <c r="H76" s="5"/>
      <c r="I76" s="5"/>
      <c r="J76" s="5"/>
      <c r="K76" s="5"/>
      <c r="L76" s="5">
        <f t="shared" si="37"/>
        <v>3000000</v>
      </c>
      <c r="M76" s="5">
        <f>+E76*4%</f>
        <v>120000</v>
      </c>
      <c r="N76" s="5">
        <f>+E76*5%</f>
        <v>150000</v>
      </c>
      <c r="O76" s="5"/>
      <c r="P76" s="5"/>
      <c r="Q76" s="17">
        <v>0</v>
      </c>
      <c r="R76" s="5"/>
      <c r="S76" s="5">
        <v>0</v>
      </c>
      <c r="T76" s="5">
        <v>795577</v>
      </c>
      <c r="U76" s="5">
        <f t="shared" si="55"/>
        <v>1065577</v>
      </c>
      <c r="V76" s="7">
        <f t="shared" si="82"/>
        <v>1934423</v>
      </c>
      <c r="W76" s="8"/>
      <c r="X76" s="9"/>
      <c r="Y76" s="8">
        <f t="shared" si="31"/>
        <v>1934423</v>
      </c>
    </row>
    <row r="77" spans="1:28" ht="20.25" customHeight="1" x14ac:dyDescent="0.25">
      <c r="A77" s="103"/>
      <c r="B77" s="14">
        <v>31</v>
      </c>
      <c r="C77" s="11" t="s">
        <v>168</v>
      </c>
      <c r="D77" s="6"/>
      <c r="E77" s="5">
        <v>4500000</v>
      </c>
      <c r="F77" s="12">
        <v>30</v>
      </c>
      <c r="G77" s="5">
        <f t="shared" si="64"/>
        <v>4500000</v>
      </c>
      <c r="H77" s="5"/>
      <c r="I77" s="5"/>
      <c r="J77" s="5"/>
      <c r="K77" s="5"/>
      <c r="L77" s="5">
        <f t="shared" ref="L77:L80" si="83">SUM(G77:J77)+K77</f>
        <v>4500000</v>
      </c>
      <c r="M77" s="5">
        <f>+G77*4%</f>
        <v>180000</v>
      </c>
      <c r="N77" s="5">
        <f>+G77*5%</f>
        <v>225000</v>
      </c>
      <c r="O77" s="5"/>
      <c r="P77" s="5"/>
      <c r="Q77" s="17">
        <v>18000</v>
      </c>
      <c r="R77" s="5"/>
      <c r="S77" s="5"/>
      <c r="T77" s="5"/>
      <c r="U77" s="5">
        <f t="shared" si="55"/>
        <v>423000</v>
      </c>
      <c r="V77" s="7">
        <f t="shared" si="82"/>
        <v>4077000</v>
      </c>
      <c r="W77" s="8"/>
      <c r="X77" s="9"/>
      <c r="Y77" s="8">
        <f t="shared" si="31"/>
        <v>4077000</v>
      </c>
    </row>
    <row r="78" spans="1:28" ht="16.5" customHeight="1" x14ac:dyDescent="0.25">
      <c r="A78" s="103"/>
      <c r="B78" s="14">
        <v>32</v>
      </c>
      <c r="C78" s="11" t="s">
        <v>109</v>
      </c>
      <c r="D78" s="6"/>
      <c r="E78" s="5">
        <v>4500000</v>
      </c>
      <c r="F78" s="12">
        <v>30</v>
      </c>
      <c r="G78" s="5">
        <f t="shared" si="64"/>
        <v>4500000</v>
      </c>
      <c r="H78" s="5"/>
      <c r="I78" s="5"/>
      <c r="J78" s="5"/>
      <c r="K78" s="5"/>
      <c r="L78" s="5">
        <f t="shared" si="83"/>
        <v>4500000</v>
      </c>
      <c r="M78" s="5">
        <f>+G78*4%</f>
        <v>180000</v>
      </c>
      <c r="N78" s="5">
        <f>+G78*5%</f>
        <v>225000</v>
      </c>
      <c r="O78" s="5"/>
      <c r="P78" s="5"/>
      <c r="Q78" s="17">
        <v>72000</v>
      </c>
      <c r="R78" s="5"/>
      <c r="S78" s="5"/>
      <c r="T78" s="5"/>
      <c r="U78" s="5">
        <f t="shared" si="55"/>
        <v>477000</v>
      </c>
      <c r="V78" s="7">
        <f t="shared" si="82"/>
        <v>4023000</v>
      </c>
      <c r="W78" s="8"/>
      <c r="X78" s="9"/>
      <c r="Y78" s="8">
        <f t="shared" si="31"/>
        <v>4023000</v>
      </c>
    </row>
    <row r="79" spans="1:28" ht="18.75" customHeight="1" x14ac:dyDescent="0.25">
      <c r="A79" s="103"/>
      <c r="B79" s="14">
        <v>33</v>
      </c>
      <c r="C79" s="11" t="s">
        <v>169</v>
      </c>
      <c r="D79" s="6"/>
      <c r="E79" s="5">
        <v>737717</v>
      </c>
      <c r="F79" s="12">
        <v>30</v>
      </c>
      <c r="G79" s="5">
        <f t="shared" si="64"/>
        <v>737717</v>
      </c>
      <c r="H79" s="5">
        <f t="shared" ref="H79:H80" si="84">+(83140/30)*F79</f>
        <v>83140</v>
      </c>
      <c r="I79" s="5"/>
      <c r="J79" s="5"/>
      <c r="K79" s="5"/>
      <c r="L79" s="5">
        <f t="shared" si="83"/>
        <v>820857</v>
      </c>
      <c r="M79" s="5">
        <f t="shared" ref="M79:M80" si="85">+G79*4%</f>
        <v>29508.68</v>
      </c>
      <c r="N79" s="5">
        <f>+G79*4%</f>
        <v>29508.68</v>
      </c>
      <c r="O79" s="5"/>
      <c r="P79" s="5"/>
      <c r="Q79" s="17"/>
      <c r="R79" s="5"/>
      <c r="S79" s="5"/>
      <c r="T79" s="5"/>
      <c r="U79" s="5">
        <v>59018</v>
      </c>
      <c r="V79" s="7">
        <f t="shared" si="82"/>
        <v>761839</v>
      </c>
      <c r="W79" s="8"/>
      <c r="X79" s="9"/>
      <c r="Y79" s="8">
        <f t="shared" si="31"/>
        <v>761839</v>
      </c>
    </row>
    <row r="80" spans="1:28" ht="19.5" customHeight="1" x14ac:dyDescent="0.25">
      <c r="A80" s="103"/>
      <c r="B80" s="14">
        <v>34</v>
      </c>
      <c r="C80" s="11" t="s">
        <v>170</v>
      </c>
      <c r="D80" s="6"/>
      <c r="E80" s="5">
        <v>737717</v>
      </c>
      <c r="F80" s="12">
        <v>30</v>
      </c>
      <c r="G80" s="5">
        <f t="shared" si="64"/>
        <v>737717</v>
      </c>
      <c r="H80" s="5">
        <f t="shared" si="84"/>
        <v>83140</v>
      </c>
      <c r="I80" s="5"/>
      <c r="J80" s="5"/>
      <c r="K80" s="5"/>
      <c r="L80" s="5">
        <f t="shared" si="83"/>
        <v>820857</v>
      </c>
      <c r="M80" s="5">
        <f t="shared" si="85"/>
        <v>29508.68</v>
      </c>
      <c r="N80" s="5">
        <f>+G80*4%</f>
        <v>29508.68</v>
      </c>
      <c r="O80" s="5"/>
      <c r="P80" s="5"/>
      <c r="Q80" s="17"/>
      <c r="R80" s="5"/>
      <c r="S80" s="5"/>
      <c r="T80" s="5"/>
      <c r="U80" s="5">
        <f>+U79</f>
        <v>59018</v>
      </c>
      <c r="V80" s="7">
        <f t="shared" si="82"/>
        <v>761839</v>
      </c>
      <c r="W80" s="8"/>
      <c r="X80" s="9"/>
      <c r="Y80" s="8">
        <f t="shared" si="31"/>
        <v>761839</v>
      </c>
    </row>
    <row r="81" spans="1:25" ht="19.5" customHeight="1" x14ac:dyDescent="0.25">
      <c r="A81" s="103"/>
      <c r="B81" s="14">
        <v>35</v>
      </c>
      <c r="C81" s="11" t="s">
        <v>171</v>
      </c>
      <c r="D81" s="6"/>
      <c r="E81" s="5">
        <v>2500000</v>
      </c>
      <c r="F81" s="12">
        <v>30</v>
      </c>
      <c r="G81" s="5">
        <f t="shared" si="64"/>
        <v>2500000</v>
      </c>
      <c r="H81" s="5"/>
      <c r="I81" s="5"/>
      <c r="J81" s="5">
        <v>350000</v>
      </c>
      <c r="K81" s="5"/>
      <c r="L81" s="5">
        <f>SUM(G81:J81)+K81</f>
        <v>2850000</v>
      </c>
      <c r="M81" s="5">
        <f>+G81*4%</f>
        <v>100000</v>
      </c>
      <c r="N81" s="5">
        <f>+G81*4%</f>
        <v>100000</v>
      </c>
      <c r="O81" s="5"/>
      <c r="P81" s="5"/>
      <c r="Q81" s="17"/>
      <c r="R81" s="5"/>
      <c r="S81" s="5"/>
      <c r="T81" s="5"/>
      <c r="U81" s="5">
        <f>SUM(M81:T81)</f>
        <v>200000</v>
      </c>
      <c r="V81" s="7">
        <f>+L81-U81</f>
        <v>2650000</v>
      </c>
      <c r="W81" s="8"/>
      <c r="X81" s="9"/>
      <c r="Y81" s="8">
        <f t="shared" si="31"/>
        <v>2650000</v>
      </c>
    </row>
    <row r="82" spans="1:25" ht="24" x14ac:dyDescent="0.25">
      <c r="A82" s="103"/>
      <c r="B82" s="14">
        <v>36</v>
      </c>
      <c r="C82" s="11" t="s">
        <v>110</v>
      </c>
      <c r="D82" s="6" t="s">
        <v>27</v>
      </c>
      <c r="E82" s="5">
        <v>2200000</v>
      </c>
      <c r="F82" s="12">
        <v>30</v>
      </c>
      <c r="G82" s="5">
        <f t="shared" si="64"/>
        <v>2200000</v>
      </c>
      <c r="H82" s="5"/>
      <c r="I82" s="5"/>
      <c r="J82" s="5"/>
      <c r="K82" s="5"/>
      <c r="L82" s="5">
        <f t="shared" ref="L82" si="86">SUM(G82:J82)+K82</f>
        <v>2200000</v>
      </c>
      <c r="M82" s="5">
        <f>+E82*4%</f>
        <v>88000</v>
      </c>
      <c r="N82" s="5">
        <f>+E82*4%</f>
        <v>88000</v>
      </c>
      <c r="O82" s="5"/>
      <c r="P82" s="5"/>
      <c r="Q82" s="17">
        <v>0</v>
      </c>
      <c r="R82" s="5"/>
      <c r="S82" s="5"/>
      <c r="T82" s="5"/>
      <c r="U82" s="5">
        <f t="shared" ref="U82" si="87">SUM(M82:T82)</f>
        <v>176000</v>
      </c>
      <c r="V82" s="7">
        <f t="shared" ref="V82:V84" si="88">+L82-U82</f>
        <v>2024000</v>
      </c>
      <c r="W82" s="8"/>
      <c r="X82" s="9"/>
      <c r="Y82" s="8">
        <f t="shared" si="31"/>
        <v>2024000</v>
      </c>
    </row>
    <row r="83" spans="1:25" ht="22.5" customHeight="1" x14ac:dyDescent="0.25">
      <c r="A83" s="103"/>
      <c r="B83" s="14">
        <v>37</v>
      </c>
      <c r="C83" s="11" t="s">
        <v>150</v>
      </c>
      <c r="D83" s="6"/>
      <c r="E83" s="5">
        <v>2500000</v>
      </c>
      <c r="F83" s="12">
        <v>30</v>
      </c>
      <c r="G83" s="5">
        <f t="shared" si="64"/>
        <v>2500000</v>
      </c>
      <c r="H83" s="5"/>
      <c r="I83" s="5"/>
      <c r="J83" s="5"/>
      <c r="K83" s="5"/>
      <c r="L83" s="5">
        <f t="shared" ref="L83:L86" si="89">SUM(G83:J83)+K83</f>
        <v>2500000</v>
      </c>
      <c r="M83" s="5">
        <f>+G83*4%</f>
        <v>100000</v>
      </c>
      <c r="N83" s="5">
        <f>+G83*4%</f>
        <v>100000</v>
      </c>
      <c r="O83" s="5"/>
      <c r="P83" s="5"/>
      <c r="Q83" s="5">
        <v>0</v>
      </c>
      <c r="R83" s="5"/>
      <c r="S83" s="5"/>
      <c r="T83" s="5"/>
      <c r="U83" s="5">
        <f>SUM(M83:T83)</f>
        <v>200000</v>
      </c>
      <c r="V83" s="7">
        <f t="shared" si="88"/>
        <v>2300000</v>
      </c>
      <c r="W83" s="8"/>
      <c r="X83" s="9"/>
      <c r="Y83" s="8">
        <f t="shared" si="31"/>
        <v>2300000</v>
      </c>
    </row>
    <row r="84" spans="1:25" ht="20.25" customHeight="1" x14ac:dyDescent="0.25">
      <c r="A84" s="103"/>
      <c r="B84" s="14">
        <v>38</v>
      </c>
      <c r="C84" s="11" t="s">
        <v>112</v>
      </c>
      <c r="D84" s="6" t="s">
        <v>27</v>
      </c>
      <c r="E84" s="5">
        <v>5500000</v>
      </c>
      <c r="F84" s="12">
        <v>30</v>
      </c>
      <c r="G84" s="5">
        <f>+E84</f>
        <v>5500000</v>
      </c>
      <c r="H84" s="5"/>
      <c r="I84" s="5"/>
      <c r="J84" s="5"/>
      <c r="K84" s="5"/>
      <c r="L84" s="5">
        <f t="shared" si="89"/>
        <v>5500000</v>
      </c>
      <c r="M84" s="5">
        <f>+E84*4%</f>
        <v>220000</v>
      </c>
      <c r="N84" s="5">
        <f>+E84*5%</f>
        <v>275000</v>
      </c>
      <c r="O84" s="5"/>
      <c r="P84" s="5"/>
      <c r="Q84" s="5">
        <v>102000</v>
      </c>
      <c r="R84" s="5"/>
      <c r="S84" s="5"/>
      <c r="T84" s="5">
        <v>610699</v>
      </c>
      <c r="U84" s="5">
        <f t="shared" ref="U84" si="90">SUM(M84:T84)</f>
        <v>1207699</v>
      </c>
      <c r="V84" s="7">
        <f t="shared" si="88"/>
        <v>4292301</v>
      </c>
      <c r="W84" s="8"/>
      <c r="X84" s="9"/>
      <c r="Y84" s="8">
        <f t="shared" si="31"/>
        <v>4292301</v>
      </c>
    </row>
    <row r="85" spans="1:25" ht="21.75" customHeight="1" x14ac:dyDescent="0.25">
      <c r="A85" s="103"/>
      <c r="B85" s="14">
        <v>39</v>
      </c>
      <c r="C85" s="11" t="s">
        <v>185</v>
      </c>
      <c r="D85" s="6"/>
      <c r="E85" s="5">
        <v>5400000</v>
      </c>
      <c r="F85" s="12">
        <v>30</v>
      </c>
      <c r="G85" s="5">
        <f>+E85/30*F85</f>
        <v>5400000</v>
      </c>
      <c r="H85" s="5"/>
      <c r="I85" s="5"/>
      <c r="J85" s="5"/>
      <c r="K85" s="5"/>
      <c r="L85" s="5">
        <f>SUM(G85:J85)+K85</f>
        <v>5400000</v>
      </c>
      <c r="M85" s="5">
        <f>+G85*4%</f>
        <v>216000</v>
      </c>
      <c r="N85" s="5">
        <f>+G85*5%</f>
        <v>270000</v>
      </c>
      <c r="O85" s="5"/>
      <c r="P85" s="5"/>
      <c r="Q85" s="5">
        <v>125000</v>
      </c>
      <c r="R85" s="5"/>
      <c r="S85" s="5"/>
      <c r="T85" s="5"/>
      <c r="U85" s="5">
        <f>SUM(M85:T85)</f>
        <v>611000</v>
      </c>
      <c r="V85" s="7">
        <f>+L85-U85</f>
        <v>4789000</v>
      </c>
      <c r="W85" s="8"/>
      <c r="X85" s="9"/>
      <c r="Y85" s="8">
        <f t="shared" si="31"/>
        <v>4789000</v>
      </c>
    </row>
    <row r="86" spans="1:25" x14ac:dyDescent="0.25">
      <c r="A86" s="103"/>
      <c r="B86" s="14">
        <v>40</v>
      </c>
      <c r="C86" s="11" t="s">
        <v>113</v>
      </c>
      <c r="D86" s="6" t="s">
        <v>27</v>
      </c>
      <c r="E86" s="5">
        <v>4500000</v>
      </c>
      <c r="F86" s="12">
        <v>30</v>
      </c>
      <c r="G86" s="5">
        <f>+E86-K86</f>
        <v>4500000</v>
      </c>
      <c r="H86" s="5"/>
      <c r="I86" s="5"/>
      <c r="J86" s="5"/>
      <c r="K86" s="5"/>
      <c r="L86" s="5">
        <f t="shared" si="89"/>
        <v>4500000</v>
      </c>
      <c r="M86" s="5">
        <f>+L86*4%</f>
        <v>180000</v>
      </c>
      <c r="N86" s="5">
        <f>+L86*5%</f>
        <v>225000</v>
      </c>
      <c r="O86" s="5">
        <v>0</v>
      </c>
      <c r="P86" s="5"/>
      <c r="Q86" s="5">
        <v>8500</v>
      </c>
      <c r="R86" s="5"/>
      <c r="S86" s="5"/>
      <c r="T86" s="5"/>
      <c r="U86" s="5">
        <f>SUM(M86:T86)</f>
        <v>413500</v>
      </c>
      <c r="V86" s="7">
        <f t="shared" ref="V86:V89" si="91">L86-U86</f>
        <v>4086500</v>
      </c>
      <c r="W86" s="8"/>
      <c r="X86" s="9"/>
      <c r="Y86" s="8">
        <f t="shared" si="31"/>
        <v>4086500</v>
      </c>
    </row>
    <row r="87" spans="1:25" x14ac:dyDescent="0.25">
      <c r="A87" s="103"/>
      <c r="B87" s="14">
        <v>41</v>
      </c>
      <c r="C87" s="11" t="s">
        <v>114</v>
      </c>
      <c r="D87" s="6" t="s">
        <v>27</v>
      </c>
      <c r="E87" s="5">
        <v>3500000</v>
      </c>
      <c r="F87" s="12">
        <v>30</v>
      </c>
      <c r="G87" s="5">
        <f t="shared" si="64"/>
        <v>3500000</v>
      </c>
      <c r="H87" s="5"/>
      <c r="I87" s="5"/>
      <c r="J87" s="5"/>
      <c r="K87" s="5"/>
      <c r="L87" s="5">
        <f t="shared" ref="L87:L104" si="92">SUM(G87:J87)+K87</f>
        <v>3500000</v>
      </c>
      <c r="M87" s="5">
        <f>+G87*4%</f>
        <v>140000</v>
      </c>
      <c r="N87" s="5">
        <f>+G87*5%</f>
        <v>175000</v>
      </c>
      <c r="O87" s="5">
        <v>0</v>
      </c>
      <c r="P87" s="5"/>
      <c r="Q87" s="5">
        <v>0</v>
      </c>
      <c r="R87" s="5"/>
      <c r="S87" s="5"/>
      <c r="T87" s="5"/>
      <c r="U87" s="5">
        <f t="shared" si="55"/>
        <v>315000</v>
      </c>
      <c r="V87" s="7">
        <f t="shared" si="91"/>
        <v>3185000</v>
      </c>
      <c r="W87" s="8"/>
      <c r="X87" s="9"/>
      <c r="Y87" s="8">
        <f t="shared" si="31"/>
        <v>3185000</v>
      </c>
    </row>
    <row r="88" spans="1:25" ht="24" x14ac:dyDescent="0.25">
      <c r="A88" s="103"/>
      <c r="B88" s="14">
        <v>42</v>
      </c>
      <c r="C88" s="11" t="s">
        <v>116</v>
      </c>
      <c r="D88" s="6" t="s">
        <v>27</v>
      </c>
      <c r="E88" s="5">
        <v>1500000</v>
      </c>
      <c r="F88" s="12">
        <v>30</v>
      </c>
      <c r="G88" s="5">
        <f t="shared" si="64"/>
        <v>1500000</v>
      </c>
      <c r="H88" s="5"/>
      <c r="I88" s="5"/>
      <c r="J88" s="5"/>
      <c r="K88" s="5"/>
      <c r="L88" s="5">
        <f t="shared" ref="L88" si="93">SUM(G88:J88)+K88</f>
        <v>1500000</v>
      </c>
      <c r="M88" s="5">
        <f>+G88*4%</f>
        <v>60000</v>
      </c>
      <c r="N88" s="5">
        <f>+G88*4%</f>
        <v>60000</v>
      </c>
      <c r="O88" s="5"/>
      <c r="P88" s="5"/>
      <c r="Q88" s="5"/>
      <c r="R88" s="5"/>
      <c r="S88" s="5"/>
      <c r="T88" s="5"/>
      <c r="U88" s="5">
        <f t="shared" si="55"/>
        <v>120000</v>
      </c>
      <c r="V88" s="7">
        <f t="shared" si="91"/>
        <v>1380000</v>
      </c>
      <c r="W88" s="8"/>
      <c r="X88" s="9"/>
      <c r="Y88" s="8">
        <f t="shared" si="31"/>
        <v>1380000</v>
      </c>
    </row>
    <row r="89" spans="1:25" ht="23.25" customHeight="1" x14ac:dyDescent="0.25">
      <c r="A89" s="103"/>
      <c r="B89" s="14">
        <v>43</v>
      </c>
      <c r="C89" s="3" t="s">
        <v>117</v>
      </c>
      <c r="D89" s="4" t="s">
        <v>27</v>
      </c>
      <c r="E89" s="5">
        <v>737717</v>
      </c>
      <c r="F89" s="12">
        <v>30</v>
      </c>
      <c r="G89" s="5">
        <f t="shared" si="64"/>
        <v>737717</v>
      </c>
      <c r="H89" s="5">
        <v>83140</v>
      </c>
      <c r="I89" s="5"/>
      <c r="J89" s="5">
        <v>23054</v>
      </c>
      <c r="K89" s="5"/>
      <c r="L89" s="5">
        <f t="shared" si="92"/>
        <v>843911</v>
      </c>
      <c r="M89" s="5">
        <v>29509</v>
      </c>
      <c r="N89" s="5">
        <v>29509</v>
      </c>
      <c r="O89" s="5"/>
      <c r="P89" s="5"/>
      <c r="Q89" s="5">
        <v>0</v>
      </c>
      <c r="R89" s="5"/>
      <c r="S89" s="5"/>
      <c r="T89" s="5"/>
      <c r="U89" s="5">
        <f t="shared" si="55"/>
        <v>59018</v>
      </c>
      <c r="V89" s="7">
        <f t="shared" si="91"/>
        <v>784893</v>
      </c>
      <c r="W89" s="8"/>
      <c r="X89" s="9"/>
      <c r="Y89" s="8">
        <f>V89+W89-X89</f>
        <v>784893</v>
      </c>
    </row>
    <row r="90" spans="1:25" ht="22.5" customHeight="1" x14ac:dyDescent="0.25">
      <c r="A90" s="103"/>
      <c r="B90" s="14">
        <v>44</v>
      </c>
      <c r="C90" s="3" t="s">
        <v>177</v>
      </c>
      <c r="D90" s="4"/>
      <c r="E90" s="5">
        <v>737717</v>
      </c>
      <c r="F90" s="12">
        <v>30</v>
      </c>
      <c r="G90" s="5">
        <f t="shared" si="64"/>
        <v>737717</v>
      </c>
      <c r="H90" s="5">
        <f t="shared" ref="H90" si="94">+(83140/30)*F90</f>
        <v>83140</v>
      </c>
      <c r="I90" s="5"/>
      <c r="J90" s="5">
        <v>9157</v>
      </c>
      <c r="K90" s="5"/>
      <c r="L90" s="5">
        <f>SUM(G90:J90)+K90</f>
        <v>830014</v>
      </c>
      <c r="M90" s="5">
        <f>+G90*4%</f>
        <v>29508.68</v>
      </c>
      <c r="N90" s="5">
        <f>+G90*4%</f>
        <v>29508.68</v>
      </c>
      <c r="O90" s="5"/>
      <c r="P90" s="5"/>
      <c r="Q90" s="5"/>
      <c r="R90" s="5"/>
      <c r="S90" s="5"/>
      <c r="T90" s="5"/>
      <c r="U90" s="5">
        <f t="shared" si="55"/>
        <v>59017.36</v>
      </c>
      <c r="V90" s="7">
        <f>L90-U90</f>
        <v>770996.64</v>
      </c>
      <c r="W90" s="8"/>
      <c r="X90" s="9"/>
      <c r="Y90" s="8">
        <f>V90+W90-X90</f>
        <v>770996.64</v>
      </c>
    </row>
    <row r="91" spans="1:25" ht="22.5" customHeight="1" x14ac:dyDescent="0.25">
      <c r="A91" s="103"/>
      <c r="B91" s="14">
        <v>45</v>
      </c>
      <c r="C91" s="3" t="s">
        <v>190</v>
      </c>
      <c r="D91" s="4"/>
      <c r="E91" s="5">
        <v>400000</v>
      </c>
      <c r="F91" s="12">
        <v>30</v>
      </c>
      <c r="G91" s="5">
        <f>+E91</f>
        <v>400000</v>
      </c>
      <c r="H91" s="5">
        <v>41570</v>
      </c>
      <c r="I91" s="5"/>
      <c r="J91" s="5"/>
      <c r="K91" s="5"/>
      <c r="L91" s="5">
        <f>SUM(G91:J91)+K91</f>
        <v>441570</v>
      </c>
      <c r="M91" s="5">
        <f>+G91*4%</f>
        <v>16000</v>
      </c>
      <c r="N91" s="5">
        <f>+G91*4%</f>
        <v>16000</v>
      </c>
      <c r="O91" s="5"/>
      <c r="P91" s="5"/>
      <c r="Q91" s="5"/>
      <c r="R91" s="5"/>
      <c r="S91" s="5"/>
      <c r="T91" s="5"/>
      <c r="U91" s="5">
        <f t="shared" si="55"/>
        <v>32000</v>
      </c>
      <c r="V91" s="7">
        <f>L91-U91</f>
        <v>409570</v>
      </c>
      <c r="W91" s="8"/>
      <c r="X91" s="9"/>
      <c r="Y91" s="8">
        <f>V91+W91-X91</f>
        <v>409570</v>
      </c>
    </row>
    <row r="92" spans="1:25" x14ac:dyDescent="0.25">
      <c r="A92" s="103"/>
      <c r="B92" s="14">
        <v>46</v>
      </c>
      <c r="C92" s="11" t="s">
        <v>120</v>
      </c>
      <c r="D92" s="6" t="s">
        <v>27</v>
      </c>
      <c r="E92" s="5">
        <v>15400000</v>
      </c>
      <c r="F92" s="12">
        <v>30</v>
      </c>
      <c r="G92" s="5">
        <f t="shared" si="64"/>
        <v>15400000</v>
      </c>
      <c r="H92" s="5"/>
      <c r="I92" s="5"/>
      <c r="J92" s="5">
        <v>600000</v>
      </c>
      <c r="K92" s="5"/>
      <c r="L92" s="5">
        <f t="shared" si="92"/>
        <v>16000000</v>
      </c>
      <c r="M92" s="5">
        <v>616000</v>
      </c>
      <c r="N92" s="5">
        <f>616000+308000</f>
        <v>924000</v>
      </c>
      <c r="O92" s="5">
        <v>102400</v>
      </c>
      <c r="P92" s="5"/>
      <c r="Q92" s="5">
        <v>916000</v>
      </c>
      <c r="R92" s="5">
        <v>5000000</v>
      </c>
      <c r="S92" s="5"/>
      <c r="T92" s="5">
        <v>2314715</v>
      </c>
      <c r="U92" s="5">
        <f t="shared" si="55"/>
        <v>9873115</v>
      </c>
      <c r="V92" s="7">
        <f>+L92-U92</f>
        <v>6126885</v>
      </c>
      <c r="W92" s="8"/>
      <c r="X92" s="9"/>
      <c r="Y92" s="8">
        <f t="shared" ref="Y92:Y110" si="95">V92+W92-X92</f>
        <v>6126885</v>
      </c>
    </row>
    <row r="93" spans="1:25" x14ac:dyDescent="0.25">
      <c r="A93" s="103"/>
      <c r="B93" s="14">
        <v>47</v>
      </c>
      <c r="C93" s="11" t="s">
        <v>121</v>
      </c>
      <c r="D93" s="6" t="s">
        <v>27</v>
      </c>
      <c r="E93" s="5">
        <v>4500000</v>
      </c>
      <c r="F93" s="12">
        <v>30</v>
      </c>
      <c r="G93" s="5">
        <f>+E93-K93</f>
        <v>4500000</v>
      </c>
      <c r="H93" s="5"/>
      <c r="I93" s="5"/>
      <c r="J93" s="5">
        <v>0</v>
      </c>
      <c r="K93" s="5">
        <v>0</v>
      </c>
      <c r="L93" s="5">
        <f t="shared" si="92"/>
        <v>4500000</v>
      </c>
      <c r="M93" s="5">
        <v>180000</v>
      </c>
      <c r="N93" s="5">
        <v>225000</v>
      </c>
      <c r="O93" s="5"/>
      <c r="P93" s="5"/>
      <c r="Q93" s="5">
        <v>72000</v>
      </c>
      <c r="R93" s="5"/>
      <c r="S93" s="5"/>
      <c r="T93" s="5">
        <v>1138458</v>
      </c>
      <c r="U93" s="5">
        <f t="shared" si="55"/>
        <v>1615458</v>
      </c>
      <c r="V93" s="7">
        <f>+L93-U93</f>
        <v>2884542</v>
      </c>
      <c r="W93" s="8"/>
      <c r="X93" s="9"/>
      <c r="Y93" s="8">
        <f t="shared" si="95"/>
        <v>2884542</v>
      </c>
    </row>
    <row r="94" spans="1:25" ht="24" x14ac:dyDescent="0.25">
      <c r="A94" s="103"/>
      <c r="B94" s="14">
        <v>48</v>
      </c>
      <c r="C94" s="11" t="s">
        <v>159</v>
      </c>
      <c r="D94" s="6"/>
      <c r="E94" s="5">
        <v>1600000</v>
      </c>
      <c r="F94" s="12">
        <v>30</v>
      </c>
      <c r="G94" s="5">
        <f t="shared" si="64"/>
        <v>1600000</v>
      </c>
      <c r="H94" s="5"/>
      <c r="I94" s="5"/>
      <c r="J94" s="5"/>
      <c r="K94" s="5"/>
      <c r="L94" s="5">
        <f t="shared" ref="L94" si="96">SUM(G94:J94)+K94</f>
        <v>1600000</v>
      </c>
      <c r="M94" s="5">
        <f t="shared" ref="M94" si="97">+G94*4%</f>
        <v>64000</v>
      </c>
      <c r="N94" s="5">
        <f>+G94*4%</f>
        <v>64000</v>
      </c>
      <c r="O94" s="5"/>
      <c r="P94" s="5"/>
      <c r="Q94" s="5"/>
      <c r="R94" s="5"/>
      <c r="S94" s="5"/>
      <c r="T94" s="5"/>
      <c r="U94" s="5">
        <f t="shared" ref="U94" si="98">SUM(M94:T94)</f>
        <v>128000</v>
      </c>
      <c r="V94" s="7">
        <f>+L94-U94</f>
        <v>1472000</v>
      </c>
      <c r="W94" s="8"/>
      <c r="X94" s="9"/>
      <c r="Y94" s="8">
        <f t="shared" si="95"/>
        <v>1472000</v>
      </c>
    </row>
    <row r="95" spans="1:25" x14ac:dyDescent="0.25">
      <c r="A95" s="103"/>
      <c r="B95" s="14">
        <v>49</v>
      </c>
      <c r="C95" s="11" t="s">
        <v>122</v>
      </c>
      <c r="D95" s="6" t="s">
        <v>27</v>
      </c>
      <c r="E95" s="5">
        <v>2500000</v>
      </c>
      <c r="F95" s="12">
        <v>30</v>
      </c>
      <c r="G95" s="5">
        <f>+E95-K95</f>
        <v>2500000</v>
      </c>
      <c r="H95" s="5"/>
      <c r="I95" s="5"/>
      <c r="J95" s="5"/>
      <c r="K95" s="5">
        <v>0</v>
      </c>
      <c r="L95" s="5">
        <f t="shared" si="92"/>
        <v>2500000</v>
      </c>
      <c r="M95" s="5">
        <v>100000</v>
      </c>
      <c r="N95" s="5">
        <v>100000</v>
      </c>
      <c r="O95" s="5"/>
      <c r="P95" s="5"/>
      <c r="Q95" s="5">
        <v>0</v>
      </c>
      <c r="R95" s="5"/>
      <c r="S95" s="5"/>
      <c r="T95" s="5"/>
      <c r="U95" s="5">
        <f t="shared" si="55"/>
        <v>200000</v>
      </c>
      <c r="V95" s="7">
        <f>+L95-U95</f>
        <v>2300000</v>
      </c>
      <c r="W95" s="8"/>
      <c r="X95" s="9"/>
      <c r="Y95" s="8">
        <f t="shared" si="95"/>
        <v>2300000</v>
      </c>
    </row>
    <row r="96" spans="1:25" x14ac:dyDescent="0.25">
      <c r="A96" s="103"/>
      <c r="B96" s="14">
        <v>50</v>
      </c>
      <c r="C96" s="3" t="s">
        <v>123</v>
      </c>
      <c r="D96" s="4" t="s">
        <v>27</v>
      </c>
      <c r="E96" s="5">
        <v>3000000</v>
      </c>
      <c r="F96" s="12">
        <v>30</v>
      </c>
      <c r="G96" s="5">
        <f>+E96-K96</f>
        <v>3000000</v>
      </c>
      <c r="H96" s="5"/>
      <c r="I96" s="5"/>
      <c r="J96" s="5">
        <v>270000</v>
      </c>
      <c r="K96" s="5"/>
      <c r="L96" s="5">
        <f t="shared" si="92"/>
        <v>3270000</v>
      </c>
      <c r="M96" s="5">
        <v>120000</v>
      </c>
      <c r="N96" s="5">
        <v>150000</v>
      </c>
      <c r="O96" s="5"/>
      <c r="P96" s="5"/>
      <c r="Q96" s="5">
        <v>0</v>
      </c>
      <c r="R96" s="5"/>
      <c r="S96" s="5"/>
      <c r="T96" s="5">
        <v>514771</v>
      </c>
      <c r="U96" s="5">
        <f>SUM(M96:T96)</f>
        <v>784771</v>
      </c>
      <c r="V96" s="7">
        <f>L96-U96</f>
        <v>2485229</v>
      </c>
      <c r="W96" s="8"/>
      <c r="X96" s="9"/>
      <c r="Y96" s="8">
        <f t="shared" si="95"/>
        <v>2485229</v>
      </c>
    </row>
    <row r="97" spans="1:25" x14ac:dyDescent="0.25">
      <c r="A97" s="103"/>
      <c r="B97" s="14">
        <v>51</v>
      </c>
      <c r="C97" s="3" t="s">
        <v>124</v>
      </c>
      <c r="D97" s="4" t="s">
        <v>27</v>
      </c>
      <c r="E97" s="5">
        <v>1600000</v>
      </c>
      <c r="F97" s="12">
        <v>30</v>
      </c>
      <c r="G97" s="5">
        <f t="shared" si="64"/>
        <v>1600000</v>
      </c>
      <c r="H97" s="5"/>
      <c r="I97" s="5"/>
      <c r="J97" s="5">
        <v>200000</v>
      </c>
      <c r="K97" s="5"/>
      <c r="L97" s="5">
        <f>SUM(G97:J97)+K97</f>
        <v>1800000</v>
      </c>
      <c r="M97" s="5">
        <f>+G97*4%</f>
        <v>64000</v>
      </c>
      <c r="N97" s="5">
        <f>+G97*4%</f>
        <v>64000</v>
      </c>
      <c r="O97" s="5"/>
      <c r="P97" s="5"/>
      <c r="Q97" s="5"/>
      <c r="R97" s="5"/>
      <c r="S97" s="5"/>
      <c r="T97" s="5"/>
      <c r="U97" s="5">
        <f>SUM(M97:T97)</f>
        <v>128000</v>
      </c>
      <c r="V97" s="7">
        <f>L97-U97</f>
        <v>1672000</v>
      </c>
      <c r="W97" s="8"/>
      <c r="X97" s="9"/>
      <c r="Y97" s="8">
        <f t="shared" si="95"/>
        <v>1672000</v>
      </c>
    </row>
    <row r="98" spans="1:25" ht="23.25" customHeight="1" x14ac:dyDescent="0.25">
      <c r="A98" s="103"/>
      <c r="B98" s="14">
        <v>52</v>
      </c>
      <c r="C98" s="11" t="s">
        <v>128</v>
      </c>
      <c r="D98" s="6" t="s">
        <v>27</v>
      </c>
      <c r="E98" s="5">
        <v>3750000</v>
      </c>
      <c r="F98" s="12">
        <v>30</v>
      </c>
      <c r="G98" s="5">
        <f t="shared" si="64"/>
        <v>3750000</v>
      </c>
      <c r="H98" s="5"/>
      <c r="I98" s="5"/>
      <c r="J98" s="5"/>
      <c r="K98" s="5"/>
      <c r="L98" s="5">
        <f t="shared" si="92"/>
        <v>3750000</v>
      </c>
      <c r="M98" s="5">
        <f>+E98*4%</f>
        <v>150000</v>
      </c>
      <c r="N98" s="5">
        <f>+E98*5%</f>
        <v>187500</v>
      </c>
      <c r="O98" s="5"/>
      <c r="P98" s="5"/>
      <c r="Q98" s="5"/>
      <c r="R98" s="5"/>
      <c r="S98" s="5"/>
      <c r="T98" s="5"/>
      <c r="U98" s="5">
        <f t="shared" si="55"/>
        <v>337500</v>
      </c>
      <c r="V98" s="7">
        <f>+L98-U98</f>
        <v>3412500</v>
      </c>
      <c r="W98" s="8"/>
      <c r="X98" s="9"/>
      <c r="Y98" s="8">
        <f t="shared" si="95"/>
        <v>3412500</v>
      </c>
    </row>
    <row r="99" spans="1:25" ht="24" x14ac:dyDescent="0.25">
      <c r="A99" s="103"/>
      <c r="B99" s="14">
        <v>53</v>
      </c>
      <c r="C99" s="11" t="s">
        <v>129</v>
      </c>
      <c r="D99" s="6" t="s">
        <v>27</v>
      </c>
      <c r="E99" s="5">
        <v>3700000</v>
      </c>
      <c r="F99" s="12">
        <v>30</v>
      </c>
      <c r="G99" s="5">
        <f t="shared" si="64"/>
        <v>3700000</v>
      </c>
      <c r="H99" s="5"/>
      <c r="I99" s="5"/>
      <c r="J99" s="5">
        <v>650000</v>
      </c>
      <c r="K99" s="5"/>
      <c r="L99" s="5">
        <f t="shared" si="92"/>
        <v>4350000</v>
      </c>
      <c r="M99" s="5">
        <f t="shared" ref="M99" si="99">+G99*4%</f>
        <v>148000</v>
      </c>
      <c r="N99" s="5">
        <f>+G99*5%</f>
        <v>185000</v>
      </c>
      <c r="O99" s="5"/>
      <c r="P99" s="5"/>
      <c r="Q99" s="5"/>
      <c r="R99" s="5"/>
      <c r="S99" s="5"/>
      <c r="T99" s="5"/>
      <c r="U99" s="5">
        <f t="shared" ref="U99:U100" si="100">SUM(M99:T99)</f>
        <v>333000</v>
      </c>
      <c r="V99" s="7">
        <f>+L99-U99</f>
        <v>4017000</v>
      </c>
      <c r="W99" s="8"/>
      <c r="X99" s="9"/>
      <c r="Y99" s="8">
        <f t="shared" si="95"/>
        <v>4017000</v>
      </c>
    </row>
    <row r="100" spans="1:25" ht="22.5" customHeight="1" x14ac:dyDescent="0.25">
      <c r="A100" s="103"/>
      <c r="B100" s="14">
        <v>54</v>
      </c>
      <c r="C100" s="11" t="s">
        <v>68</v>
      </c>
      <c r="D100" s="6" t="s">
        <v>27</v>
      </c>
      <c r="E100" s="5">
        <v>3500000</v>
      </c>
      <c r="F100" s="12">
        <v>30</v>
      </c>
      <c r="G100" s="5">
        <f>+E100-K100</f>
        <v>3500000</v>
      </c>
      <c r="H100" s="5"/>
      <c r="I100" s="5"/>
      <c r="J100" s="5" t="s">
        <v>1</v>
      </c>
      <c r="K100" s="5"/>
      <c r="L100" s="5">
        <f t="shared" si="92"/>
        <v>3500000</v>
      </c>
      <c r="M100" s="5">
        <f>+L100*4%</f>
        <v>140000</v>
      </c>
      <c r="N100" s="5">
        <f>+L100*5%</f>
        <v>175000</v>
      </c>
      <c r="O100" s="5"/>
      <c r="P100" s="5"/>
      <c r="Q100" s="5"/>
      <c r="R100" s="5"/>
      <c r="S100" s="5"/>
      <c r="T100" s="5"/>
      <c r="U100" s="5">
        <f t="shared" si="100"/>
        <v>315000</v>
      </c>
      <c r="V100" s="7">
        <f t="shared" ref="V100" si="101">+L100-U100</f>
        <v>3185000</v>
      </c>
      <c r="W100" s="8"/>
      <c r="X100" s="9"/>
      <c r="Y100" s="8">
        <f t="shared" si="95"/>
        <v>3185000</v>
      </c>
    </row>
    <row r="101" spans="1:25" ht="19.5" customHeight="1" x14ac:dyDescent="0.25">
      <c r="A101" s="103"/>
      <c r="B101" s="14">
        <v>55</v>
      </c>
      <c r="C101" s="11" t="s">
        <v>130</v>
      </c>
      <c r="D101" s="6" t="s">
        <v>35</v>
      </c>
      <c r="E101" s="5">
        <v>2000000</v>
      </c>
      <c r="F101" s="12">
        <v>30</v>
      </c>
      <c r="G101" s="5">
        <f t="shared" si="64"/>
        <v>2000000.0000000002</v>
      </c>
      <c r="H101" s="5"/>
      <c r="I101" s="5"/>
      <c r="J101" s="5"/>
      <c r="K101" s="5"/>
      <c r="L101" s="5">
        <f t="shared" si="92"/>
        <v>2000000.0000000002</v>
      </c>
      <c r="M101" s="5">
        <f>+E101*4%</f>
        <v>80000</v>
      </c>
      <c r="N101" s="5">
        <f>+E101*4%</f>
        <v>80000</v>
      </c>
      <c r="O101" s="5"/>
      <c r="P101" s="5"/>
      <c r="Q101" s="17"/>
      <c r="R101" s="5"/>
      <c r="S101" s="5"/>
      <c r="T101" s="5"/>
      <c r="U101" s="5">
        <f t="shared" si="55"/>
        <v>160000</v>
      </c>
      <c r="V101" s="7">
        <f>+L101-U101</f>
        <v>1840000.0000000002</v>
      </c>
      <c r="W101" s="8"/>
      <c r="X101" s="9"/>
      <c r="Y101" s="8">
        <f t="shared" si="95"/>
        <v>1840000.0000000002</v>
      </c>
    </row>
    <row r="102" spans="1:25" ht="22.5" customHeight="1" x14ac:dyDescent="0.25">
      <c r="A102" s="103"/>
      <c r="B102" s="14">
        <v>56</v>
      </c>
      <c r="C102" s="11" t="s">
        <v>173</v>
      </c>
      <c r="D102" s="6"/>
      <c r="E102" s="5">
        <v>1500000</v>
      </c>
      <c r="F102" s="12">
        <v>30</v>
      </c>
      <c r="G102" s="5">
        <f t="shared" si="64"/>
        <v>1500000</v>
      </c>
      <c r="H102" s="5"/>
      <c r="I102" s="5"/>
      <c r="J102" s="5"/>
      <c r="K102" s="5"/>
      <c r="L102" s="5">
        <f t="shared" ref="L102" si="102">SUM(G102:J102)+K102</f>
        <v>1500000</v>
      </c>
      <c r="M102" s="5">
        <f>+G102*4%</f>
        <v>60000</v>
      </c>
      <c r="N102" s="5">
        <f>+G102*4%</f>
        <v>60000</v>
      </c>
      <c r="O102" s="5">
        <v>0</v>
      </c>
      <c r="P102" s="5"/>
      <c r="Q102" s="17"/>
      <c r="R102" s="5"/>
      <c r="S102" s="5"/>
      <c r="T102" s="5"/>
      <c r="U102" s="5">
        <f t="shared" si="55"/>
        <v>120000</v>
      </c>
      <c r="V102" s="7">
        <f>+L102-U102</f>
        <v>1380000</v>
      </c>
      <c r="W102" s="8"/>
      <c r="X102" s="9"/>
      <c r="Y102" s="8">
        <f t="shared" si="95"/>
        <v>1380000</v>
      </c>
    </row>
    <row r="103" spans="1:25" x14ac:dyDescent="0.25">
      <c r="A103" s="103"/>
      <c r="B103" s="14">
        <v>57</v>
      </c>
      <c r="C103" s="3" t="s">
        <v>131</v>
      </c>
      <c r="D103" s="4" t="s">
        <v>27</v>
      </c>
      <c r="E103" s="5">
        <v>1600000</v>
      </c>
      <c r="F103" s="12">
        <v>30</v>
      </c>
      <c r="G103" s="5">
        <f t="shared" si="64"/>
        <v>1600000</v>
      </c>
      <c r="H103" s="5"/>
      <c r="I103" s="5"/>
      <c r="J103" s="5"/>
      <c r="K103" s="5"/>
      <c r="L103" s="5">
        <f t="shared" si="92"/>
        <v>1600000</v>
      </c>
      <c r="M103" s="5">
        <f>+L103*4%</f>
        <v>64000</v>
      </c>
      <c r="N103" s="5">
        <v>64000</v>
      </c>
      <c r="O103" s="5"/>
      <c r="P103" s="5"/>
      <c r="Q103" s="5">
        <v>0</v>
      </c>
      <c r="R103" s="5"/>
      <c r="S103" s="5"/>
      <c r="T103" s="5">
        <v>249127</v>
      </c>
      <c r="U103" s="5">
        <f t="shared" si="55"/>
        <v>377127</v>
      </c>
      <c r="V103" s="7">
        <f>L103-U103</f>
        <v>1222873</v>
      </c>
      <c r="W103" s="8"/>
      <c r="X103" s="9"/>
      <c r="Y103" s="8">
        <f t="shared" si="95"/>
        <v>1222873</v>
      </c>
    </row>
    <row r="104" spans="1:25" ht="23.25" customHeight="1" x14ac:dyDescent="0.25">
      <c r="A104" s="103"/>
      <c r="B104" s="14">
        <v>58</v>
      </c>
      <c r="C104" s="11" t="s">
        <v>132</v>
      </c>
      <c r="D104" s="6" t="s">
        <v>27</v>
      </c>
      <c r="E104" s="5">
        <v>1500000</v>
      </c>
      <c r="F104" s="12">
        <v>30</v>
      </c>
      <c r="G104" s="5">
        <f t="shared" si="64"/>
        <v>1500000</v>
      </c>
      <c r="H104" s="5">
        <v>0</v>
      </c>
      <c r="I104" s="5"/>
      <c r="J104" s="5"/>
      <c r="K104" s="5"/>
      <c r="L104" s="5">
        <f t="shared" si="92"/>
        <v>1500000</v>
      </c>
      <c r="M104" s="5">
        <f>+G104*4%</f>
        <v>60000</v>
      </c>
      <c r="N104" s="5">
        <f>+G104*4%</f>
        <v>60000</v>
      </c>
      <c r="O104" s="5"/>
      <c r="P104" s="5"/>
      <c r="Q104" s="5">
        <v>0</v>
      </c>
      <c r="R104" s="5"/>
      <c r="S104" s="5"/>
      <c r="T104" s="5"/>
      <c r="U104" s="5">
        <f t="shared" si="55"/>
        <v>120000</v>
      </c>
      <c r="V104" s="7">
        <f t="shared" ref="V104:V108" si="103">+L104-U104</f>
        <v>1380000</v>
      </c>
      <c r="W104" s="8"/>
      <c r="X104" s="9"/>
      <c r="Y104" s="8">
        <f t="shared" si="95"/>
        <v>1380000</v>
      </c>
    </row>
    <row r="105" spans="1:25" ht="24" x14ac:dyDescent="0.25">
      <c r="A105" s="103"/>
      <c r="B105" s="14">
        <v>59</v>
      </c>
      <c r="C105" s="11" t="s">
        <v>134</v>
      </c>
      <c r="D105" s="6" t="s">
        <v>27</v>
      </c>
      <c r="E105" s="5">
        <v>1800000</v>
      </c>
      <c r="F105" s="12">
        <v>30</v>
      </c>
      <c r="G105" s="5">
        <f>+E105</f>
        <v>1800000</v>
      </c>
      <c r="H105" s="5"/>
      <c r="I105" s="5"/>
      <c r="J105" s="5"/>
      <c r="K105" s="21"/>
      <c r="L105" s="5">
        <f t="shared" ref="L105:L106" si="104">SUM(G105:J105)+K105</f>
        <v>1800000</v>
      </c>
      <c r="M105" s="5">
        <f>+E105*4%</f>
        <v>72000</v>
      </c>
      <c r="N105" s="5">
        <f>+E105*4%</f>
        <v>72000</v>
      </c>
      <c r="O105" s="5"/>
      <c r="P105" s="5"/>
      <c r="Q105" s="5">
        <v>0</v>
      </c>
      <c r="R105" s="5"/>
      <c r="S105" s="5"/>
      <c r="T105" s="5"/>
      <c r="U105" s="5">
        <f t="shared" si="55"/>
        <v>144000</v>
      </c>
      <c r="V105" s="7">
        <f t="shared" si="103"/>
        <v>1656000</v>
      </c>
      <c r="W105" s="8"/>
      <c r="X105" s="9"/>
      <c r="Y105" s="8">
        <f t="shared" si="95"/>
        <v>1656000</v>
      </c>
    </row>
    <row r="106" spans="1:25" ht="18.75" customHeight="1" x14ac:dyDescent="0.25">
      <c r="A106" s="103"/>
      <c r="B106" s="14">
        <v>60</v>
      </c>
      <c r="C106" s="11" t="s">
        <v>179</v>
      </c>
      <c r="D106" s="6"/>
      <c r="E106" s="5">
        <v>737717</v>
      </c>
      <c r="F106" s="12">
        <v>30</v>
      </c>
      <c r="G106" s="5">
        <f t="shared" si="64"/>
        <v>737717</v>
      </c>
      <c r="H106" s="5"/>
      <c r="I106" s="5"/>
      <c r="J106" s="5"/>
      <c r="K106" s="21"/>
      <c r="L106" s="5">
        <f t="shared" si="104"/>
        <v>737717</v>
      </c>
      <c r="M106" s="5"/>
      <c r="N106" s="5"/>
      <c r="O106" s="5"/>
      <c r="P106" s="5"/>
      <c r="Q106" s="5"/>
      <c r="R106" s="5"/>
      <c r="S106" s="5"/>
      <c r="T106" s="5"/>
      <c r="U106" s="5">
        <f t="shared" si="55"/>
        <v>0</v>
      </c>
      <c r="V106" s="7">
        <f t="shared" si="103"/>
        <v>737717</v>
      </c>
      <c r="W106" s="8"/>
      <c r="X106" s="9"/>
      <c r="Y106" s="8">
        <f t="shared" si="95"/>
        <v>737717</v>
      </c>
    </row>
    <row r="107" spans="1:25" ht="18.75" customHeight="1" x14ac:dyDescent="0.25">
      <c r="A107" s="103"/>
      <c r="B107" s="14">
        <v>61</v>
      </c>
      <c r="C107" s="11" t="s">
        <v>135</v>
      </c>
      <c r="D107" s="6" t="s">
        <v>27</v>
      </c>
      <c r="E107" s="5">
        <v>2000000</v>
      </c>
      <c r="F107" s="12">
        <v>30</v>
      </c>
      <c r="G107" s="5">
        <f t="shared" si="64"/>
        <v>2000000.0000000002</v>
      </c>
      <c r="H107" s="5"/>
      <c r="I107" s="5"/>
      <c r="J107" s="5"/>
      <c r="K107" s="5"/>
      <c r="L107" s="5">
        <f>SUM(G107:J107)+K107</f>
        <v>2000000.0000000002</v>
      </c>
      <c r="M107" s="5">
        <f>+E107*0.04</f>
        <v>80000</v>
      </c>
      <c r="N107" s="5">
        <v>80000</v>
      </c>
      <c r="O107" s="5"/>
      <c r="P107" s="5"/>
      <c r="Q107" s="5"/>
      <c r="R107" s="5"/>
      <c r="S107" s="5"/>
      <c r="T107" s="5"/>
      <c r="U107" s="5">
        <f t="shared" si="55"/>
        <v>160000</v>
      </c>
      <c r="V107" s="7">
        <f t="shared" si="103"/>
        <v>1840000.0000000002</v>
      </c>
      <c r="W107" s="8"/>
      <c r="X107" s="9"/>
      <c r="Y107" s="8">
        <f t="shared" si="95"/>
        <v>1840000.0000000002</v>
      </c>
    </row>
    <row r="108" spans="1:25" ht="23.25" customHeight="1" x14ac:dyDescent="0.25">
      <c r="A108" s="103"/>
      <c r="B108" s="14">
        <v>62</v>
      </c>
      <c r="C108" s="11" t="s">
        <v>137</v>
      </c>
      <c r="D108" s="6"/>
      <c r="E108" s="5">
        <v>2000000</v>
      </c>
      <c r="F108" s="12">
        <v>30</v>
      </c>
      <c r="G108" s="5">
        <f t="shared" si="64"/>
        <v>2000000.0000000002</v>
      </c>
      <c r="H108" s="5"/>
      <c r="I108" s="5"/>
      <c r="J108" s="5"/>
      <c r="K108" s="22"/>
      <c r="L108" s="5">
        <f t="shared" ref="L108:L110" si="105">SUM(G108:J108)+K108</f>
        <v>2000000.0000000002</v>
      </c>
      <c r="M108" s="5">
        <f>+G108*4%</f>
        <v>80000.000000000015</v>
      </c>
      <c r="N108" s="5">
        <f>+G108*4%</f>
        <v>80000.000000000015</v>
      </c>
      <c r="O108" s="5"/>
      <c r="P108" s="5"/>
      <c r="Q108" s="5">
        <v>0</v>
      </c>
      <c r="R108" s="5"/>
      <c r="S108" s="5"/>
      <c r="T108" s="5"/>
      <c r="U108" s="5">
        <f t="shared" ref="U108:U110" si="106">SUM(M108:T108)</f>
        <v>160000.00000000003</v>
      </c>
      <c r="V108" s="7">
        <f t="shared" si="103"/>
        <v>1840000.0000000002</v>
      </c>
      <c r="W108" s="8"/>
      <c r="X108" s="9"/>
      <c r="Y108" s="8">
        <f t="shared" si="95"/>
        <v>1840000.0000000002</v>
      </c>
    </row>
    <row r="109" spans="1:25" ht="18.75" customHeight="1" x14ac:dyDescent="0.25">
      <c r="A109" s="103"/>
      <c r="B109" s="14">
        <v>63</v>
      </c>
      <c r="C109" s="11" t="s">
        <v>160</v>
      </c>
      <c r="D109" s="6"/>
      <c r="E109" s="5">
        <v>737717</v>
      </c>
      <c r="F109" s="12">
        <v>30</v>
      </c>
      <c r="G109" s="5">
        <f>+E109</f>
        <v>737717</v>
      </c>
      <c r="H109" s="5"/>
      <c r="I109" s="5"/>
      <c r="J109" s="5"/>
      <c r="K109" s="22"/>
      <c r="L109" s="5">
        <f t="shared" si="105"/>
        <v>737717</v>
      </c>
      <c r="M109" s="5"/>
      <c r="N109" s="5"/>
      <c r="O109" s="5"/>
      <c r="P109" s="5"/>
      <c r="Q109" s="5"/>
      <c r="R109" s="5"/>
      <c r="S109" s="5"/>
      <c r="T109" s="5"/>
      <c r="U109" s="5">
        <f>SUM(M109:T109)</f>
        <v>0</v>
      </c>
      <c r="V109" s="7">
        <f>+L109-U109</f>
        <v>737717</v>
      </c>
      <c r="W109" s="8"/>
      <c r="X109" s="9"/>
      <c r="Y109" s="8">
        <f t="shared" si="95"/>
        <v>737717</v>
      </c>
    </row>
    <row r="110" spans="1:25" ht="23.25" customHeight="1" x14ac:dyDescent="0.25">
      <c r="A110" s="75"/>
      <c r="B110" s="14">
        <v>64</v>
      </c>
      <c r="C110" s="11" t="s">
        <v>186</v>
      </c>
      <c r="D110" s="6"/>
      <c r="E110" s="5">
        <v>1200000</v>
      </c>
      <c r="F110" s="12">
        <v>30</v>
      </c>
      <c r="G110" s="5">
        <f t="shared" ref="G110" si="107">E110/30*F110</f>
        <v>1200000</v>
      </c>
      <c r="H110" s="5">
        <f t="shared" ref="H110" si="108">+(83140/30)*F110</f>
        <v>83140</v>
      </c>
      <c r="I110" s="5"/>
      <c r="J110" s="5"/>
      <c r="K110" s="22"/>
      <c r="L110" s="5">
        <f t="shared" si="105"/>
        <v>1283140</v>
      </c>
      <c r="M110" s="5">
        <f>+G110*4%</f>
        <v>48000</v>
      </c>
      <c r="N110" s="5">
        <f t="shared" ref="N110" si="109">+G110*4%</f>
        <v>48000</v>
      </c>
      <c r="O110" s="5"/>
      <c r="P110" s="5"/>
      <c r="Q110" s="5">
        <v>0</v>
      </c>
      <c r="R110" s="5"/>
      <c r="S110" s="5"/>
      <c r="T110" s="5"/>
      <c r="U110" s="5">
        <f t="shared" si="106"/>
        <v>96000</v>
      </c>
      <c r="V110" s="7">
        <f t="shared" ref="V110" si="110">+L110-U110</f>
        <v>1187140</v>
      </c>
      <c r="W110" s="8"/>
      <c r="X110" s="9"/>
      <c r="Y110" s="8">
        <f t="shared" si="95"/>
        <v>1187140</v>
      </c>
    </row>
    <row r="111" spans="1:25" x14ac:dyDescent="0.25">
      <c r="A111" s="13"/>
      <c r="B111" s="13"/>
      <c r="C111" s="23" t="s">
        <v>140</v>
      </c>
      <c r="D111" s="13"/>
      <c r="E111" s="18">
        <f>SUM(E4:E110)</f>
        <v>377650630</v>
      </c>
      <c r="F111" s="18" t="s">
        <v>1</v>
      </c>
      <c r="G111" s="8">
        <f>SUM(G4:G110)</f>
        <v>368124115.5333333</v>
      </c>
      <c r="H111" s="8">
        <f>SUM(H4:H110)</f>
        <v>956110</v>
      </c>
      <c r="I111" s="8"/>
      <c r="J111" s="8">
        <f>SUM(J4:J110)</f>
        <v>16559798</v>
      </c>
      <c r="K111" s="8">
        <f t="shared" ref="K111:X111" si="111">SUM(K4:K110)</f>
        <v>5170666.666666666</v>
      </c>
      <c r="L111" s="8">
        <f>SUM(L4:L110)</f>
        <v>392639887.66666663</v>
      </c>
      <c r="M111" s="8">
        <f>SUM(M4:M110)</f>
        <v>14800345.479999999</v>
      </c>
      <c r="N111" s="8">
        <f>SUM(N4:N110)</f>
        <v>18023268.669999998</v>
      </c>
      <c r="O111" s="8">
        <f>SUM(O4:O110)</f>
        <v>102400</v>
      </c>
      <c r="P111" s="8">
        <f t="shared" si="111"/>
        <v>1021210</v>
      </c>
      <c r="Q111" s="8">
        <f t="shared" si="111"/>
        <v>4288943</v>
      </c>
      <c r="R111" s="8">
        <f t="shared" si="111"/>
        <v>10165000</v>
      </c>
      <c r="S111" s="8">
        <f t="shared" si="111"/>
        <v>344614</v>
      </c>
      <c r="T111" s="8">
        <f t="shared" si="111"/>
        <v>19089213</v>
      </c>
      <c r="U111" s="8">
        <f t="shared" si="111"/>
        <v>67834996.069999993</v>
      </c>
      <c r="V111" s="8">
        <f>SUM(V4:V110)</f>
        <v>324804891.59666663</v>
      </c>
      <c r="W111" s="8">
        <f t="shared" si="111"/>
        <v>0</v>
      </c>
      <c r="X111" s="8">
        <f t="shared" si="111"/>
        <v>0</v>
      </c>
      <c r="Y111" s="8">
        <f>SUM(Y4:Y110)</f>
        <v>324804891.59666663</v>
      </c>
    </row>
    <row r="112" spans="1:25" x14ac:dyDescent="0.25">
      <c r="E112" s="26"/>
      <c r="F112" s="26"/>
      <c r="G112" s="26"/>
      <c r="V112" s="20"/>
      <c r="W112" s="20"/>
      <c r="Y112" s="20"/>
    </row>
    <row r="113" spans="2:29" x14ac:dyDescent="0.25">
      <c r="D113" s="25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9"/>
      <c r="W113" s="25"/>
      <c r="X113" s="30"/>
      <c r="Y113" s="29"/>
    </row>
    <row r="114" spans="2:29" x14ac:dyDescent="0.25">
      <c r="D114" s="25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9"/>
      <c r="W114" s="25"/>
      <c r="X114" s="30"/>
      <c r="Y114" s="29"/>
    </row>
    <row r="115" spans="2:29" x14ac:dyDescent="0.25">
      <c r="C115" s="31"/>
      <c r="D115" s="25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5"/>
      <c r="W115" s="25"/>
      <c r="X115" s="30"/>
      <c r="Y115" s="29"/>
    </row>
    <row r="116" spans="2:29" x14ac:dyDescent="0.25">
      <c r="C116" s="31"/>
      <c r="D116" s="25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5"/>
      <c r="W116" s="25"/>
      <c r="X116" s="30"/>
      <c r="Y116" s="25"/>
      <c r="Z116" s="25"/>
      <c r="AA116" s="25"/>
      <c r="AB116" s="25"/>
      <c r="AC116" s="25"/>
    </row>
    <row r="117" spans="2:29" x14ac:dyDescent="0.25">
      <c r="B117" s="25"/>
      <c r="C117" s="31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6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25"/>
      <c r="AA117" s="25"/>
      <c r="AB117" s="25"/>
      <c r="AC117" s="25"/>
    </row>
    <row r="118" spans="2:29" x14ac:dyDescent="0.25">
      <c r="B118" s="25"/>
      <c r="C118" s="31"/>
      <c r="D118" s="25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5"/>
      <c r="W118" s="25"/>
      <c r="X118" s="30"/>
      <c r="Y118" s="25"/>
      <c r="Z118" s="25"/>
      <c r="AA118" s="25"/>
      <c r="AB118" s="25"/>
      <c r="AC118" s="25"/>
    </row>
    <row r="119" spans="2:29" x14ac:dyDescent="0.25">
      <c r="B119" s="25"/>
      <c r="C119" s="31"/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5"/>
      <c r="W119" s="25"/>
      <c r="X119" s="30"/>
      <c r="Y119" s="25"/>
      <c r="Z119" s="25"/>
      <c r="AA119" s="25"/>
      <c r="AB119" s="25"/>
      <c r="AC119" s="25"/>
    </row>
    <row r="120" spans="2:29" x14ac:dyDescent="0.25">
      <c r="B120" s="25"/>
      <c r="C120" s="31"/>
      <c r="D120" s="25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5"/>
      <c r="W120" s="25"/>
      <c r="X120" s="30"/>
      <c r="Y120" s="25"/>
      <c r="Z120" s="25"/>
      <c r="AA120" s="25"/>
      <c r="AB120" s="25"/>
      <c r="AC120" s="25"/>
    </row>
    <row r="121" spans="2:29" x14ac:dyDescent="0.25">
      <c r="B121" s="25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4"/>
      <c r="X121" s="35"/>
      <c r="Y121" s="34"/>
      <c r="Z121" s="25"/>
      <c r="AA121" s="25"/>
      <c r="AB121" s="25"/>
      <c r="AC121" s="25"/>
    </row>
    <row r="122" spans="2:29" x14ac:dyDescent="0.25">
      <c r="B122" s="36"/>
      <c r="C122" s="31"/>
      <c r="D122" s="34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4"/>
      <c r="W122" s="34"/>
      <c r="X122" s="35"/>
      <c r="Y122" s="34"/>
      <c r="Z122" s="25"/>
      <c r="AA122" s="25"/>
      <c r="AB122" s="25"/>
      <c r="AC122" s="25"/>
    </row>
    <row r="123" spans="2:29" x14ac:dyDescent="0.25">
      <c r="B123" s="25"/>
      <c r="C123" s="31"/>
      <c r="D123" s="25"/>
      <c r="E123" s="26"/>
      <c r="F123" s="26"/>
      <c r="G123" s="38"/>
      <c r="H123" s="26"/>
      <c r="I123" s="26"/>
      <c r="J123" s="26"/>
      <c r="K123" s="26"/>
      <c r="L123" s="26"/>
      <c r="M123" s="26"/>
      <c r="N123" s="26"/>
      <c r="O123" s="39"/>
      <c r="P123" s="39"/>
      <c r="Q123" s="39"/>
      <c r="R123" s="39"/>
      <c r="S123" s="39"/>
      <c r="T123" s="26"/>
      <c r="U123" s="26"/>
      <c r="V123" s="25"/>
      <c r="W123" s="25"/>
      <c r="X123" s="30"/>
      <c r="Y123" s="25"/>
      <c r="Z123" s="25"/>
      <c r="AA123" s="25"/>
      <c r="AB123" s="25"/>
      <c r="AC123" s="25"/>
    </row>
    <row r="124" spans="2:29" x14ac:dyDescent="0.25">
      <c r="B124" s="25"/>
      <c r="C124" s="40"/>
      <c r="D124" s="34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4"/>
      <c r="W124" s="34"/>
      <c r="X124" s="35"/>
      <c r="Y124" s="34"/>
      <c r="Z124" s="25"/>
      <c r="AA124" s="25"/>
      <c r="AB124" s="25"/>
      <c r="AC124" s="25"/>
    </row>
    <row r="125" spans="2:29" x14ac:dyDescent="0.25">
      <c r="B125" s="34"/>
      <c r="C125" s="40"/>
      <c r="D125" s="34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4"/>
      <c r="W125" s="34"/>
      <c r="X125" s="35"/>
      <c r="Y125" s="34"/>
      <c r="Z125" s="25"/>
      <c r="AA125" s="25"/>
      <c r="AB125" s="25"/>
      <c r="AC125" s="25"/>
    </row>
    <row r="126" spans="2:29" x14ac:dyDescent="0.25">
      <c r="B126" s="25"/>
      <c r="C126" s="40"/>
      <c r="D126" s="34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9"/>
      <c r="W126" s="29"/>
      <c r="X126" s="30"/>
      <c r="Y126" s="29"/>
      <c r="Z126" s="25"/>
      <c r="AA126" s="25"/>
      <c r="AB126" s="25"/>
      <c r="AC126" s="25"/>
    </row>
    <row r="127" spans="2:29" x14ac:dyDescent="0.25">
      <c r="C127" s="40"/>
      <c r="D127" s="34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9"/>
      <c r="W127" s="29"/>
      <c r="X127" s="30"/>
      <c r="Y127" s="29"/>
      <c r="Z127" s="25"/>
      <c r="AA127" s="25"/>
      <c r="AB127" s="25"/>
      <c r="AC127" s="25"/>
    </row>
    <row r="128" spans="2:29" x14ac:dyDescent="0.25">
      <c r="C128" s="40"/>
      <c r="D128" s="34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9"/>
      <c r="W128" s="29"/>
      <c r="X128" s="30"/>
      <c r="Y128" s="29"/>
      <c r="Z128" s="25"/>
      <c r="AA128" s="25"/>
      <c r="AB128" s="25"/>
      <c r="AC128" s="25"/>
    </row>
    <row r="129" spans="3:29" x14ac:dyDescent="0.25">
      <c r="C129" s="40"/>
      <c r="D129" s="34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9"/>
      <c r="W129" s="29"/>
      <c r="X129" s="30"/>
      <c r="Y129" s="29"/>
      <c r="Z129" s="25"/>
      <c r="AA129" s="25"/>
      <c r="AB129" s="25"/>
      <c r="AC129" s="25"/>
    </row>
    <row r="130" spans="3:29" x14ac:dyDescent="0.25">
      <c r="C130" s="40"/>
      <c r="D130" s="34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9"/>
      <c r="W130" s="29"/>
      <c r="X130" s="30"/>
      <c r="Y130" s="29"/>
      <c r="Z130" s="25"/>
      <c r="AA130" s="25"/>
      <c r="AB130" s="25"/>
      <c r="AC130" s="25"/>
    </row>
    <row r="131" spans="3:29" x14ac:dyDescent="0.25">
      <c r="C131" s="40"/>
      <c r="D131" s="34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9"/>
      <c r="W131" s="29"/>
      <c r="X131" s="30"/>
      <c r="Y131" s="29"/>
      <c r="Z131" s="25"/>
      <c r="AA131" s="25"/>
      <c r="AB131" s="25"/>
      <c r="AC131" s="25"/>
    </row>
    <row r="132" spans="3:29" x14ac:dyDescent="0.25">
      <c r="C132" s="31"/>
      <c r="D132" s="25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9"/>
      <c r="W132" s="29"/>
      <c r="X132" s="30"/>
      <c r="Y132" s="29"/>
      <c r="Z132" s="25"/>
      <c r="AA132" s="25"/>
      <c r="AB132" s="25"/>
      <c r="AC132" s="25"/>
    </row>
    <row r="133" spans="3:29" x14ac:dyDescent="0.25">
      <c r="C133" s="40"/>
      <c r="D133" s="25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9"/>
      <c r="W133" s="29"/>
      <c r="X133" s="30"/>
      <c r="Y133" s="29"/>
      <c r="Z133" s="25"/>
      <c r="AA133" s="25"/>
      <c r="AB133" s="25"/>
      <c r="AC133" s="25"/>
    </row>
    <row r="134" spans="3:29" x14ac:dyDescent="0.25">
      <c r="C134" s="40"/>
      <c r="D134" s="25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9"/>
      <c r="W134" s="29"/>
      <c r="X134" s="30"/>
      <c r="Y134" s="29"/>
      <c r="Z134" s="25"/>
      <c r="AA134" s="25"/>
      <c r="AB134" s="25"/>
      <c r="AC134" s="25"/>
    </row>
    <row r="135" spans="3:29" x14ac:dyDescent="0.25">
      <c r="C135" s="40"/>
      <c r="D135" s="25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9"/>
      <c r="W135" s="29"/>
      <c r="X135" s="30"/>
      <c r="Y135" s="29"/>
      <c r="Z135" s="25"/>
      <c r="AA135" s="25"/>
      <c r="AB135" s="25"/>
      <c r="AC135" s="25"/>
    </row>
    <row r="136" spans="3:29" x14ac:dyDescent="0.25">
      <c r="C136" s="40"/>
      <c r="D136" s="25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9"/>
      <c r="W136" s="29"/>
      <c r="X136" s="30"/>
      <c r="Y136" s="29"/>
      <c r="Z136" s="25"/>
      <c r="AA136" s="25"/>
      <c r="AB136" s="25"/>
      <c r="AC136" s="25"/>
    </row>
    <row r="137" spans="3:29" x14ac:dyDescent="0.25">
      <c r="C137" s="40"/>
      <c r="D137" s="25"/>
      <c r="E137" s="26"/>
      <c r="F137" s="26"/>
      <c r="G137" s="26"/>
      <c r="H137" s="26"/>
      <c r="I137" s="26"/>
      <c r="J137" s="26"/>
      <c r="K137" s="26"/>
      <c r="L137" s="26">
        <f>737717*4</f>
        <v>2950868</v>
      </c>
      <c r="M137" s="26">
        <f>737717*2</f>
        <v>1475434</v>
      </c>
      <c r="N137" s="26"/>
      <c r="O137" s="26"/>
      <c r="P137" s="26"/>
      <c r="Q137" s="26"/>
      <c r="R137" s="26"/>
      <c r="S137" s="26"/>
      <c r="T137" s="26"/>
      <c r="U137" s="26"/>
      <c r="V137" s="29"/>
      <c r="W137" s="29"/>
      <c r="X137" s="30"/>
      <c r="Y137" s="29"/>
      <c r="Z137" s="25"/>
      <c r="AA137" s="25"/>
      <c r="AB137" s="25"/>
      <c r="AC137" s="25"/>
    </row>
    <row r="138" spans="3:29" x14ac:dyDescent="0.25">
      <c r="C138" s="40"/>
      <c r="D138" s="25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9"/>
      <c r="W138" s="29"/>
      <c r="X138" s="30"/>
      <c r="Y138" s="29"/>
      <c r="Z138" s="25"/>
      <c r="AA138" s="25"/>
      <c r="AB138" s="25"/>
      <c r="AC138" s="25"/>
    </row>
    <row r="139" spans="3:29" x14ac:dyDescent="0.25">
      <c r="C139" s="40"/>
      <c r="D139" s="25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9"/>
      <c r="W139" s="29"/>
      <c r="X139" s="30"/>
      <c r="Y139" s="29"/>
      <c r="Z139" s="25"/>
      <c r="AA139" s="25"/>
      <c r="AB139" s="25"/>
      <c r="AC139" s="25"/>
    </row>
    <row r="140" spans="3:29" x14ac:dyDescent="0.25">
      <c r="C140" s="40"/>
      <c r="D140" s="25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9"/>
      <c r="W140" s="29"/>
      <c r="X140" s="30"/>
      <c r="Y140" s="29"/>
      <c r="Z140" s="25"/>
      <c r="AA140" s="25"/>
      <c r="AB140" s="25"/>
      <c r="AC140" s="25"/>
    </row>
    <row r="141" spans="3:29" x14ac:dyDescent="0.25">
      <c r="C141" s="40"/>
      <c r="D141" s="2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9"/>
      <c r="W141" s="29"/>
      <c r="X141" s="30"/>
      <c r="Y141" s="29"/>
      <c r="Z141" s="25"/>
      <c r="AA141" s="25"/>
      <c r="AB141" s="25"/>
      <c r="AC141" s="25"/>
    </row>
    <row r="142" spans="3:29" x14ac:dyDescent="0.25">
      <c r="C142" s="40"/>
      <c r="D142" s="2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9"/>
      <c r="W142" s="29"/>
      <c r="X142" s="30"/>
      <c r="Y142" s="29"/>
      <c r="Z142" s="25"/>
      <c r="AA142" s="25"/>
      <c r="AB142" s="25"/>
      <c r="AC142" s="25"/>
    </row>
    <row r="143" spans="3:29" x14ac:dyDescent="0.25">
      <c r="C143" s="40"/>
      <c r="D143" s="2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9"/>
      <c r="W143" s="29"/>
      <c r="X143" s="30"/>
      <c r="Y143" s="29"/>
      <c r="Z143" s="25"/>
      <c r="AA143" s="25"/>
      <c r="AB143" s="25"/>
      <c r="AC143" s="25"/>
    </row>
    <row r="144" spans="3:29" x14ac:dyDescent="0.25">
      <c r="C144" s="31"/>
      <c r="D144" s="25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5"/>
      <c r="W144" s="25"/>
      <c r="X144" s="30"/>
      <c r="Y144" s="25"/>
      <c r="Z144" s="25"/>
      <c r="AA144" s="25"/>
      <c r="AB144" s="25"/>
      <c r="AC144" s="25"/>
    </row>
    <row r="145" spans="2:29" x14ac:dyDescent="0.25">
      <c r="C145" s="31"/>
      <c r="D145" s="2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25"/>
      <c r="T145" s="26"/>
      <c r="U145" s="26"/>
      <c r="V145" s="25"/>
      <c r="W145" s="25"/>
      <c r="X145" s="30"/>
      <c r="Y145" s="25"/>
      <c r="Z145" s="25"/>
      <c r="AA145" s="25"/>
      <c r="AB145" s="25"/>
      <c r="AC145" s="25"/>
    </row>
    <row r="146" spans="2:29" x14ac:dyDescent="0.25">
      <c r="B146" s="25"/>
      <c r="C146" s="31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25"/>
      <c r="AA146" s="25"/>
      <c r="AB146" s="25"/>
      <c r="AC146" s="25"/>
    </row>
    <row r="147" spans="2:29" x14ac:dyDescent="0.25">
      <c r="B147" s="25"/>
      <c r="C147" s="31"/>
      <c r="D147" s="25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4"/>
      <c r="W147" s="34"/>
      <c r="X147" s="35"/>
      <c r="Y147" s="34"/>
      <c r="Z147" s="25"/>
      <c r="AA147" s="25"/>
      <c r="AB147" s="25"/>
      <c r="AC147" s="25"/>
    </row>
    <row r="148" spans="2:29" x14ac:dyDescent="0.25">
      <c r="B148" s="25"/>
      <c r="C148" s="40"/>
      <c r="D148" s="34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4"/>
      <c r="W148" s="34"/>
      <c r="X148" s="35"/>
      <c r="Y148" s="34"/>
    </row>
    <row r="149" spans="2:29" x14ac:dyDescent="0.25">
      <c r="B149" s="41"/>
      <c r="C149" s="40"/>
      <c r="D149" s="34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4"/>
      <c r="W149" s="34"/>
      <c r="X149" s="35"/>
      <c r="Y149" s="34"/>
    </row>
    <row r="150" spans="2:29" x14ac:dyDescent="0.25">
      <c r="C150" s="40"/>
      <c r="D150" s="34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9"/>
      <c r="W150" s="29"/>
      <c r="X150" s="30"/>
      <c r="Y150" s="29"/>
    </row>
    <row r="151" spans="2:29" x14ac:dyDescent="0.25">
      <c r="C151" s="40"/>
      <c r="D151" s="34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9"/>
      <c r="W151" s="29"/>
      <c r="X151" s="30"/>
      <c r="Y151" s="29"/>
    </row>
    <row r="152" spans="2:29" x14ac:dyDescent="0.25">
      <c r="C152" s="40"/>
      <c r="D152" s="34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9"/>
      <c r="W152" s="29"/>
      <c r="X152" s="30"/>
      <c r="Y152" s="29"/>
    </row>
    <row r="153" spans="2:29" x14ac:dyDescent="0.25">
      <c r="C153" s="31"/>
      <c r="D153" s="25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9"/>
      <c r="W153" s="29"/>
      <c r="X153" s="30"/>
      <c r="Y153" s="29"/>
    </row>
    <row r="154" spans="2:29" x14ac:dyDescent="0.25">
      <c r="C154" s="40"/>
      <c r="D154" s="25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9"/>
      <c r="W154" s="29"/>
      <c r="X154" s="30"/>
      <c r="Y154" s="29"/>
    </row>
    <row r="155" spans="2:29" x14ac:dyDescent="0.25">
      <c r="C155" s="31"/>
      <c r="D155" s="25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5"/>
      <c r="W155" s="25"/>
      <c r="X155" s="30"/>
      <c r="Y155" s="25"/>
    </row>
    <row r="156" spans="2:29" x14ac:dyDescent="0.25">
      <c r="C156" s="31"/>
      <c r="D156" s="25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9"/>
      <c r="W156" s="29"/>
      <c r="X156" s="30"/>
      <c r="Y156" s="29"/>
    </row>
    <row r="157" spans="2:29" x14ac:dyDescent="0.25">
      <c r="B157" s="25"/>
      <c r="C157" s="31"/>
      <c r="D157" s="25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5"/>
      <c r="W157" s="25"/>
      <c r="X157" s="30"/>
      <c r="Y157" s="25"/>
    </row>
    <row r="158" spans="2:29" x14ac:dyDescent="0.25">
      <c r="B158" s="25"/>
      <c r="C158" s="31"/>
      <c r="D158" s="25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5"/>
      <c r="W158" s="25"/>
      <c r="X158" s="30"/>
      <c r="Y158" s="25"/>
    </row>
    <row r="159" spans="2:29" x14ac:dyDescent="0.25">
      <c r="B159" s="25"/>
      <c r="C159" s="31"/>
      <c r="D159" s="25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42"/>
      <c r="W159" s="42"/>
      <c r="X159" s="30"/>
      <c r="Y159" s="42"/>
    </row>
    <row r="160" spans="2:29" x14ac:dyDescent="0.25">
      <c r="B160" s="25"/>
      <c r="C160" s="31"/>
      <c r="D160" s="25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43"/>
      <c r="W160" s="43"/>
      <c r="X160" s="30"/>
      <c r="Y160" s="43"/>
    </row>
    <row r="161" spans="3:25" x14ac:dyDescent="0.25">
      <c r="C161" s="31"/>
      <c r="D161" s="25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5"/>
      <c r="W161" s="25"/>
      <c r="X161" s="30"/>
      <c r="Y161" s="25"/>
    </row>
    <row r="162" spans="3:25" x14ac:dyDescent="0.25">
      <c r="C162" s="31"/>
      <c r="D162" s="25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5"/>
      <c r="W162" s="25"/>
      <c r="X162" s="30"/>
      <c r="Y162" s="25"/>
    </row>
    <row r="163" spans="3:25" x14ac:dyDescent="0.25">
      <c r="C163" s="31"/>
      <c r="D163" s="25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5"/>
      <c r="W163" s="25"/>
      <c r="X163" s="30"/>
      <c r="Y163" s="25"/>
    </row>
    <row r="164" spans="3:25" x14ac:dyDescent="0.25">
      <c r="C164" s="31"/>
      <c r="D164" s="25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5"/>
      <c r="W164" s="25"/>
      <c r="X164" s="30"/>
      <c r="Y164" s="25"/>
    </row>
    <row r="165" spans="3:25" x14ac:dyDescent="0.25">
      <c r="C165" s="31"/>
      <c r="D165" s="25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5"/>
      <c r="W165" s="25"/>
      <c r="X165" s="30"/>
      <c r="Y165" s="25"/>
    </row>
    <row r="166" spans="3:25" x14ac:dyDescent="0.25">
      <c r="C166" s="31"/>
      <c r="D166" s="25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5"/>
      <c r="W166" s="25"/>
      <c r="X166" s="30"/>
      <c r="Y166" s="25"/>
    </row>
    <row r="167" spans="3:25" x14ac:dyDescent="0.25">
      <c r="C167" s="31"/>
      <c r="D167" s="25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5"/>
      <c r="W167" s="25"/>
      <c r="X167" s="30"/>
      <c r="Y167" s="25"/>
    </row>
    <row r="168" spans="3:25" x14ac:dyDescent="0.25">
      <c r="C168" s="31"/>
      <c r="D168" s="25"/>
      <c r="E168" s="26"/>
      <c r="F168" s="26"/>
      <c r="G168" s="26"/>
      <c r="H168" s="26"/>
      <c r="I168" s="26"/>
      <c r="J168" s="26"/>
      <c r="K168" s="26"/>
      <c r="L168" s="26"/>
      <c r="M168" s="26">
        <v>3003000</v>
      </c>
      <c r="N168" s="26"/>
      <c r="O168" s="26"/>
      <c r="P168" s="26"/>
      <c r="Q168" s="26"/>
      <c r="R168" s="26"/>
      <c r="S168" s="26"/>
      <c r="T168" s="26"/>
      <c r="U168" s="26"/>
      <c r="V168" s="25"/>
      <c r="W168" s="25"/>
      <c r="X168" s="30"/>
      <c r="Y168" s="25"/>
    </row>
    <row r="169" spans="3:25" x14ac:dyDescent="0.25">
      <c r="C169" s="40"/>
      <c r="D169" s="25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5"/>
      <c r="W169" s="25"/>
      <c r="X169" s="30"/>
      <c r="Y169" s="25"/>
    </row>
    <row r="170" spans="3:25" x14ac:dyDescent="0.25">
      <c r="C170" s="40"/>
      <c r="D170" s="25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5"/>
      <c r="W170" s="25"/>
      <c r="X170" s="30"/>
      <c r="Y170" s="25"/>
    </row>
    <row r="171" spans="3:25" x14ac:dyDescent="0.25">
      <c r="C171" s="40"/>
      <c r="D171" s="25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5"/>
      <c r="W171" s="25"/>
      <c r="X171" s="30"/>
      <c r="Y171" s="25"/>
    </row>
    <row r="172" spans="3:25" x14ac:dyDescent="0.25">
      <c r="C172" s="40"/>
      <c r="D172" s="25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5"/>
      <c r="W172" s="25"/>
      <c r="X172" s="30"/>
      <c r="Y172" s="25"/>
    </row>
    <row r="173" spans="3:25" x14ac:dyDescent="0.25">
      <c r="C173" s="31">
        <v>42614840</v>
      </c>
      <c r="D173" s="25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>
        <v>412608</v>
      </c>
      <c r="V173" s="25"/>
      <c r="W173" s="25"/>
      <c r="X173" s="30"/>
      <c r="Y173" s="25"/>
    </row>
    <row r="174" spans="3:25" x14ac:dyDescent="0.25">
      <c r="C174" s="31">
        <v>9675182</v>
      </c>
      <c r="D174" s="25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>
        <v>1880000</v>
      </c>
      <c r="V174" s="25"/>
      <c r="W174" s="25"/>
      <c r="X174" s="30"/>
      <c r="Y174" s="25"/>
    </row>
    <row r="175" spans="3:25" x14ac:dyDescent="0.25">
      <c r="C175" s="31">
        <v>17903600</v>
      </c>
      <c r="D175" s="25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5"/>
      <c r="W175" s="25"/>
      <c r="X175" s="30"/>
      <c r="Y175" s="25"/>
    </row>
    <row r="176" spans="3:25" x14ac:dyDescent="0.25">
      <c r="C176" s="31">
        <f>SUM(C173:C175)</f>
        <v>70193622</v>
      </c>
      <c r="D176" s="25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5"/>
      <c r="W176" s="25"/>
      <c r="X176" s="30"/>
      <c r="Y176" s="25"/>
    </row>
    <row r="177" spans="3:25" x14ac:dyDescent="0.25">
      <c r="C177" s="31">
        <v>400000</v>
      </c>
      <c r="D177" s="25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5"/>
      <c r="W177" s="25"/>
      <c r="X177" s="30"/>
      <c r="Y177" s="25"/>
    </row>
    <row r="178" spans="3:25" x14ac:dyDescent="0.25">
      <c r="C178" s="31">
        <f>+C176+C177</f>
        <v>70593622</v>
      </c>
      <c r="D178" s="25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5"/>
      <c r="W178" s="25"/>
      <c r="X178" s="30"/>
      <c r="Y178" s="25"/>
    </row>
    <row r="182" spans="3:25" x14ac:dyDescent="0.25">
      <c r="C182" s="24">
        <v>11000000</v>
      </c>
    </row>
    <row r="183" spans="3:25" x14ac:dyDescent="0.25">
      <c r="C183" s="24">
        <f>+C181+C182</f>
        <v>11000000</v>
      </c>
    </row>
    <row r="188" spans="3:25" x14ac:dyDescent="0.25">
      <c r="C188" s="24">
        <v>3185000</v>
      </c>
    </row>
    <row r="189" spans="3:25" x14ac:dyDescent="0.25">
      <c r="C189" s="24">
        <v>1080000</v>
      </c>
    </row>
    <row r="190" spans="3:25" x14ac:dyDescent="0.25">
      <c r="C190" s="24">
        <v>4850100</v>
      </c>
    </row>
    <row r="191" spans="3:25" x14ac:dyDescent="0.25">
      <c r="C191" s="24">
        <v>5027500</v>
      </c>
    </row>
    <row r="192" spans="3:25" x14ac:dyDescent="0.25">
      <c r="C192" s="24">
        <v>4566000</v>
      </c>
    </row>
    <row r="193" spans="3:3" x14ac:dyDescent="0.25">
      <c r="C193" s="24">
        <v>1050000</v>
      </c>
    </row>
    <row r="194" spans="3:3" x14ac:dyDescent="0.25">
      <c r="C194" s="24">
        <v>3877333</v>
      </c>
    </row>
    <row r="195" spans="3:3" x14ac:dyDescent="0.25">
      <c r="C195" s="24">
        <v>6732440</v>
      </c>
    </row>
    <row r="196" spans="3:3" x14ac:dyDescent="0.25">
      <c r="C196" s="24">
        <v>3460000</v>
      </c>
    </row>
    <row r="197" spans="3:3" x14ac:dyDescent="0.25">
      <c r="C197" s="24">
        <v>588800</v>
      </c>
    </row>
    <row r="198" spans="3:3" x14ac:dyDescent="0.25">
      <c r="C198" s="24">
        <v>1868000</v>
      </c>
    </row>
    <row r="199" spans="3:3" x14ac:dyDescent="0.25">
      <c r="C199" s="24">
        <v>10313000</v>
      </c>
    </row>
    <row r="200" spans="3:3" x14ac:dyDescent="0.25">
      <c r="C200" s="24">
        <v>3443800</v>
      </c>
    </row>
    <row r="201" spans="3:3" x14ac:dyDescent="0.25">
      <c r="C201" s="24">
        <v>8136400</v>
      </c>
    </row>
    <row r="202" spans="3:3" x14ac:dyDescent="0.25">
      <c r="C202" s="24">
        <v>9675183</v>
      </c>
    </row>
    <row r="203" spans="3:3" x14ac:dyDescent="0.25">
      <c r="C203" s="24">
        <f>SUM(C187:C202)</f>
        <v>67853556</v>
      </c>
    </row>
  </sheetData>
  <mergeCells count="7">
    <mergeCell ref="D146:Y146"/>
    <mergeCell ref="C1:V1"/>
    <mergeCell ref="E2:L2"/>
    <mergeCell ref="M2:U2"/>
    <mergeCell ref="A3:A46"/>
    <mergeCell ref="A47:A109"/>
    <mergeCell ref="E145:R14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 </vt:lpstr>
      <vt:lpstr>FEBRERO </vt:lpstr>
      <vt:lpstr>MARZO </vt:lpstr>
      <vt:lpstr>ABRIL </vt:lpstr>
      <vt:lpstr>MAYO </vt:lpstr>
      <vt:lpstr>JUNIO </vt:lpstr>
      <vt:lpstr>SEPTIEMBRE </vt:lpstr>
      <vt:lpstr>OCTUBRE </vt:lpstr>
      <vt:lpstr>NOVIEMBRE </vt:lpstr>
      <vt:lpstr>DICIEMBRE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2019-05-27T15:30:21Z</dcterms:modified>
</cp:coreProperties>
</file>